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D:\FAJRULLAH\"/>
    </mc:Choice>
  </mc:AlternateContent>
  <xr:revisionPtr revIDLastSave="0" documentId="13_ncr:1_{CFE33D01-F064-4D0A-A71E-EEF909807C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W I (TC.19)" sheetId="1" r:id="rId1"/>
    <sheet name="E.60" sheetId="3" r:id="rId2"/>
    <sheet name="Sheet1" sheetId="2" r:id="rId3"/>
  </sheets>
  <definedNames>
    <definedName name="_xlnm.Print_Area" localSheetId="0">'TW I (TC.19)'!$A$1:$AG$70</definedName>
    <definedName name="_xlnm.Print_Titles" localSheetId="0">'TW I (TC.19)'!$7:$10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9" i="1" l="1"/>
  <c r="AB39" i="1" s="1"/>
  <c r="AD39" i="1" s="1"/>
  <c r="Y39" i="1"/>
  <c r="Z39" i="1"/>
  <c r="AC39" i="1"/>
  <c r="AE39" i="1" s="1"/>
  <c r="G32" i="1"/>
  <c r="G34" i="1"/>
  <c r="G37" i="1"/>
  <c r="V34" i="1"/>
  <c r="W12" i="1"/>
  <c r="Q21" i="1"/>
  <c r="M37" i="1"/>
  <c r="M34" i="1"/>
  <c r="M32" i="1"/>
  <c r="M12" i="1"/>
  <c r="M14" i="1"/>
  <c r="V23" i="1"/>
  <c r="T23" i="1"/>
  <c r="V32" i="1"/>
  <c r="V12" i="1"/>
  <c r="U12" i="1"/>
  <c r="T12" i="1"/>
  <c r="R12" i="1"/>
  <c r="P12" i="1"/>
  <c r="W14" i="1"/>
  <c r="U14" i="1"/>
  <c r="S14" i="1"/>
  <c r="Q14" i="1"/>
  <c r="O14" i="1"/>
  <c r="W32" i="1"/>
  <c r="T35" i="1"/>
  <c r="T34" i="1" s="1"/>
  <c r="T38" i="1"/>
  <c r="Y33" i="1"/>
  <c r="T33" i="1"/>
  <c r="V29" i="1"/>
  <c r="T29" i="1"/>
  <c r="P29" i="1"/>
  <c r="V28" i="1"/>
  <c r="T28" i="1"/>
  <c r="V22" i="1"/>
  <c r="V20" i="1"/>
  <c r="P20" i="1"/>
  <c r="V18" i="1"/>
  <c r="T18" i="1"/>
  <c r="T15" i="1"/>
  <c r="O12" i="1"/>
  <c r="Y14" i="1" l="1"/>
  <c r="V27" i="1"/>
  <c r="T27" i="1"/>
  <c r="G31" i="1"/>
  <c r="M31" i="1"/>
  <c r="Y42" i="3"/>
  <c r="X42" i="3"/>
  <c r="W42" i="3"/>
  <c r="V42" i="3"/>
  <c r="U42" i="3"/>
  <c r="T42" i="3"/>
  <c r="S42" i="3"/>
  <c r="R42" i="3"/>
  <c r="Q42" i="3"/>
  <c r="P42" i="3"/>
  <c r="Y41" i="3"/>
  <c r="X41" i="3"/>
  <c r="W41" i="3"/>
  <c r="U41" i="3"/>
  <c r="S41" i="3"/>
  <c r="R41" i="3"/>
  <c r="Q41" i="3"/>
  <c r="P41" i="3"/>
  <c r="AA40" i="3"/>
  <c r="Z40" i="3"/>
  <c r="Y40" i="3"/>
  <c r="W40" i="3"/>
  <c r="U40" i="3"/>
  <c r="S40" i="3"/>
  <c r="Q40" i="3"/>
  <c r="O40" i="3"/>
  <c r="L40" i="3"/>
  <c r="I40" i="3"/>
  <c r="AC39" i="3"/>
  <c r="AB39" i="3"/>
  <c r="AA39" i="3"/>
  <c r="Z39" i="3"/>
  <c r="Y39" i="3"/>
  <c r="X39" i="3"/>
  <c r="AC38" i="3"/>
  <c r="AB38" i="3"/>
  <c r="AA38" i="3"/>
  <c r="Z38" i="3"/>
  <c r="Y38" i="3"/>
  <c r="X38" i="3"/>
  <c r="S38" i="3"/>
  <c r="R38" i="3"/>
  <c r="P38" i="3"/>
  <c r="AC37" i="3"/>
  <c r="AB37" i="3"/>
  <c r="AA37" i="3"/>
  <c r="Z37" i="3"/>
  <c r="Y37" i="3"/>
  <c r="X37" i="3"/>
  <c r="S37" i="3"/>
  <c r="R37" i="3"/>
  <c r="Q37" i="3"/>
  <c r="P37" i="3"/>
  <c r="O37" i="3"/>
  <c r="N37" i="3"/>
  <c r="L37" i="3"/>
  <c r="I37" i="3"/>
  <c r="AC36" i="3"/>
  <c r="AB36" i="3"/>
  <c r="AA36" i="3"/>
  <c r="Z36" i="3"/>
  <c r="Y36" i="3"/>
  <c r="X36" i="3"/>
  <c r="S36" i="3"/>
  <c r="R36" i="3"/>
  <c r="P36" i="3"/>
  <c r="AC35" i="3"/>
  <c r="AB35" i="3"/>
  <c r="AA35" i="3"/>
  <c r="Z35" i="3"/>
  <c r="Y35" i="3"/>
  <c r="X35" i="3"/>
  <c r="R35" i="3"/>
  <c r="P35" i="3"/>
  <c r="AC34" i="3"/>
  <c r="AB34" i="3"/>
  <c r="AA34" i="3"/>
  <c r="Z34" i="3"/>
  <c r="Y34" i="3"/>
  <c r="X34" i="3"/>
  <c r="S34" i="3"/>
  <c r="R34" i="3"/>
  <c r="P34" i="3"/>
  <c r="O34" i="3"/>
  <c r="L34" i="3"/>
  <c r="I34" i="3"/>
  <c r="AC33" i="3"/>
  <c r="AB33" i="3"/>
  <c r="AA33" i="3"/>
  <c r="Z33" i="3"/>
  <c r="Y33" i="3"/>
  <c r="X33" i="3"/>
  <c r="R33" i="3"/>
  <c r="P33" i="3"/>
  <c r="AC32" i="3"/>
  <c r="AB32" i="3"/>
  <c r="AA32" i="3"/>
  <c r="Z32" i="3"/>
  <c r="Y32" i="3"/>
  <c r="X32" i="3"/>
  <c r="S32" i="3"/>
  <c r="R32" i="3"/>
  <c r="Q32" i="3"/>
  <c r="P32" i="3"/>
  <c r="O32" i="3"/>
  <c r="L32" i="3"/>
  <c r="I32" i="3"/>
  <c r="AC31" i="3"/>
  <c r="AB31" i="3"/>
  <c r="AA31" i="3"/>
  <c r="Z31" i="3"/>
  <c r="Y31" i="3"/>
  <c r="X31" i="3"/>
  <c r="S31" i="3"/>
  <c r="R31" i="3"/>
  <c r="Q31" i="3"/>
  <c r="P31" i="3"/>
  <c r="O31" i="3"/>
  <c r="L31" i="3"/>
  <c r="I31" i="3"/>
  <c r="AC30" i="3"/>
  <c r="AB30" i="3"/>
  <c r="AA30" i="3"/>
  <c r="Z30" i="3"/>
  <c r="Y30" i="3"/>
  <c r="X30" i="3"/>
  <c r="R30" i="3"/>
  <c r="P30" i="3"/>
  <c r="AC29" i="3"/>
  <c r="AB29" i="3"/>
  <c r="AA29" i="3"/>
  <c r="Z29" i="3"/>
  <c r="Y29" i="3"/>
  <c r="X29" i="3"/>
  <c r="S29" i="3"/>
  <c r="R29" i="3"/>
  <c r="P29" i="3"/>
  <c r="AC28" i="3"/>
  <c r="AB28" i="3"/>
  <c r="AA28" i="3"/>
  <c r="Z28" i="3"/>
  <c r="Y28" i="3"/>
  <c r="X28" i="3"/>
  <c r="S28" i="3"/>
  <c r="R28" i="3"/>
  <c r="P28" i="3"/>
  <c r="AC27" i="3"/>
  <c r="AB27" i="3"/>
  <c r="AA27" i="3"/>
  <c r="Z27" i="3"/>
  <c r="Y27" i="3"/>
  <c r="X27" i="3"/>
  <c r="S27" i="3"/>
  <c r="R27" i="3"/>
  <c r="Q27" i="3"/>
  <c r="P27" i="3"/>
  <c r="O27" i="3"/>
  <c r="L27" i="3"/>
  <c r="I27" i="3"/>
  <c r="AC26" i="3"/>
  <c r="AB26" i="3"/>
  <c r="AA26" i="3"/>
  <c r="Z26" i="3"/>
  <c r="Y26" i="3"/>
  <c r="X26" i="3"/>
  <c r="S26" i="3"/>
  <c r="R26" i="3"/>
  <c r="P26" i="3"/>
  <c r="AC25" i="3"/>
  <c r="AB25" i="3"/>
  <c r="AA25" i="3"/>
  <c r="Z25" i="3"/>
  <c r="Y25" i="3"/>
  <c r="X25" i="3"/>
  <c r="S25" i="3"/>
  <c r="R25" i="3"/>
  <c r="P25" i="3"/>
  <c r="AC24" i="3"/>
  <c r="AB24" i="3"/>
  <c r="AA24" i="3"/>
  <c r="Z24" i="3"/>
  <c r="Y24" i="3"/>
  <c r="X24" i="3"/>
  <c r="R24" i="3"/>
  <c r="P24" i="3"/>
  <c r="AC23" i="3"/>
  <c r="AB23" i="3"/>
  <c r="AA23" i="3"/>
  <c r="Z23" i="3"/>
  <c r="Y23" i="3"/>
  <c r="X23" i="3"/>
  <c r="S23" i="3"/>
  <c r="R23" i="3"/>
  <c r="Q23" i="3"/>
  <c r="P23" i="3"/>
  <c r="O23" i="3"/>
  <c r="L23" i="3"/>
  <c r="I23" i="3"/>
  <c r="AC22" i="3"/>
  <c r="AB22" i="3"/>
  <c r="AA22" i="3"/>
  <c r="Z22" i="3"/>
  <c r="Y22" i="3"/>
  <c r="X22" i="3"/>
  <c r="R22" i="3"/>
  <c r="P22" i="3"/>
  <c r="AC21" i="3"/>
  <c r="AB21" i="3"/>
  <c r="AA21" i="3"/>
  <c r="Z21" i="3"/>
  <c r="Y21" i="3"/>
  <c r="X21" i="3"/>
  <c r="S21" i="3"/>
  <c r="R21" i="3"/>
  <c r="Q21" i="3"/>
  <c r="P21" i="3"/>
  <c r="O21" i="3"/>
  <c r="L21" i="3"/>
  <c r="I21" i="3"/>
  <c r="AC20" i="3"/>
  <c r="AB20" i="3"/>
  <c r="AA20" i="3"/>
  <c r="Z20" i="3"/>
  <c r="Y20" i="3"/>
  <c r="X20" i="3"/>
  <c r="R20" i="3"/>
  <c r="P20" i="3"/>
  <c r="AC19" i="3"/>
  <c r="AB19" i="3"/>
  <c r="AA19" i="3"/>
  <c r="Z19" i="3"/>
  <c r="Y19" i="3"/>
  <c r="X19" i="3"/>
  <c r="R19" i="3"/>
  <c r="P19" i="3"/>
  <c r="AC18" i="3"/>
  <c r="AB18" i="3"/>
  <c r="AA18" i="3"/>
  <c r="Z18" i="3"/>
  <c r="Y18" i="3"/>
  <c r="X18" i="3"/>
  <c r="R18" i="3"/>
  <c r="P18" i="3"/>
  <c r="AC17" i="3"/>
  <c r="AB17" i="3"/>
  <c r="AA17" i="3"/>
  <c r="Z17" i="3"/>
  <c r="Y17" i="3"/>
  <c r="X17" i="3"/>
  <c r="R17" i="3"/>
  <c r="P17" i="3"/>
  <c r="AC16" i="3"/>
  <c r="AB16" i="3"/>
  <c r="AA16" i="3"/>
  <c r="Z16" i="3"/>
  <c r="Y16" i="3"/>
  <c r="X16" i="3"/>
  <c r="R16" i="3"/>
  <c r="P16" i="3"/>
  <c r="AC15" i="3"/>
  <c r="AB15" i="3"/>
  <c r="AA15" i="3"/>
  <c r="Z15" i="3"/>
  <c r="Y15" i="3"/>
  <c r="X15" i="3"/>
  <c r="R15" i="3"/>
  <c r="P15" i="3"/>
  <c r="AC14" i="3"/>
  <c r="AB14" i="3"/>
  <c r="AA14" i="3"/>
  <c r="Z14" i="3"/>
  <c r="Y14" i="3"/>
  <c r="X14" i="3"/>
  <c r="S14" i="3"/>
  <c r="R14" i="3"/>
  <c r="Q14" i="3"/>
  <c r="P14" i="3"/>
  <c r="O14" i="3"/>
  <c r="L14" i="3"/>
  <c r="I14" i="3"/>
  <c r="AC13" i="3"/>
  <c r="AB13" i="3"/>
  <c r="AA13" i="3"/>
  <c r="Z13" i="3"/>
  <c r="Y13" i="3"/>
  <c r="X13" i="3"/>
  <c r="S13" i="3"/>
  <c r="R13" i="3"/>
  <c r="P13" i="3"/>
  <c r="AC12" i="3"/>
  <c r="AB12" i="3"/>
  <c r="AA12" i="3"/>
  <c r="Z12" i="3"/>
  <c r="Y12" i="3"/>
  <c r="X12" i="3"/>
  <c r="S12" i="3"/>
  <c r="R12" i="3"/>
  <c r="Q12" i="3"/>
  <c r="O12" i="3"/>
  <c r="L12" i="3"/>
  <c r="I12" i="3"/>
  <c r="AC11" i="3"/>
  <c r="AB11" i="3"/>
  <c r="AA11" i="3"/>
  <c r="Z11" i="3"/>
  <c r="Y11" i="3"/>
  <c r="X11" i="3"/>
  <c r="T11" i="3"/>
  <c r="S11" i="3"/>
  <c r="R11" i="3"/>
  <c r="Q11" i="3"/>
  <c r="O11" i="3"/>
  <c r="L11" i="3"/>
  <c r="I11" i="3"/>
  <c r="L42" i="1"/>
  <c r="Y38" i="1"/>
  <c r="AA38" i="1" s="1"/>
  <c r="AA37" i="1" s="1"/>
  <c r="R38" i="1"/>
  <c r="P38" i="1"/>
  <c r="W37" i="1"/>
  <c r="V37" i="1"/>
  <c r="U37" i="1"/>
  <c r="S37" i="1"/>
  <c r="Q37" i="1"/>
  <c r="O37" i="1"/>
  <c r="R37" i="1" s="1"/>
  <c r="L37" i="1"/>
  <c r="I37" i="1"/>
  <c r="S36" i="1"/>
  <c r="Y36" i="1" s="1"/>
  <c r="AA36" i="1" s="1"/>
  <c r="P36" i="1"/>
  <c r="Y35" i="1"/>
  <c r="AA35" i="1" s="1"/>
  <c r="R35" i="1"/>
  <c r="P35" i="1"/>
  <c r="X35" i="1" s="1"/>
  <c r="AB35" i="1" s="1"/>
  <c r="AD35" i="1" s="1"/>
  <c r="W34" i="1"/>
  <c r="U34" i="1"/>
  <c r="O34" i="1"/>
  <c r="L34" i="1"/>
  <c r="I34" i="1"/>
  <c r="AC33" i="1"/>
  <c r="AE33" i="1" s="1"/>
  <c r="AA33" i="1"/>
  <c r="R33" i="1"/>
  <c r="X33" i="1" s="1"/>
  <c r="Z33" i="1" s="1"/>
  <c r="U32" i="1"/>
  <c r="S32" i="1"/>
  <c r="Q32" i="1"/>
  <c r="Q31" i="1" s="1"/>
  <c r="O32" i="1"/>
  <c r="L32" i="1"/>
  <c r="I32" i="1"/>
  <c r="Y30" i="1"/>
  <c r="AA30" i="1" s="1"/>
  <c r="X30" i="1"/>
  <c r="Z30" i="1" s="1"/>
  <c r="S29" i="1"/>
  <c r="R29" i="1" s="1"/>
  <c r="X29" i="1" s="1"/>
  <c r="AB29" i="1" s="1"/>
  <c r="AD29" i="1" s="1"/>
  <c r="S28" i="1"/>
  <c r="Y28" i="1" s="1"/>
  <c r="AA28" i="1" s="1"/>
  <c r="R28" i="1"/>
  <c r="P28" i="1"/>
  <c r="P27" i="1" s="1"/>
  <c r="W27" i="1"/>
  <c r="U27" i="1"/>
  <c r="Q27" i="1"/>
  <c r="O27" i="1"/>
  <c r="M27" i="1"/>
  <c r="L27" i="1"/>
  <c r="J27" i="1"/>
  <c r="I27" i="1"/>
  <c r="G27" i="1"/>
  <c r="X26" i="1"/>
  <c r="AB26" i="1" s="1"/>
  <c r="AD26" i="1" s="1"/>
  <c r="S26" i="1"/>
  <c r="Y26" i="1" s="1"/>
  <c r="AC26" i="1" s="1"/>
  <c r="AE26" i="1" s="1"/>
  <c r="S25" i="1"/>
  <c r="Y25" i="1" s="1"/>
  <c r="AC25" i="1" s="1"/>
  <c r="AE25" i="1" s="1"/>
  <c r="X25" i="1"/>
  <c r="Y24" i="1"/>
  <c r="AA24" i="1" s="1"/>
  <c r="R24" i="1"/>
  <c r="R23" i="1" s="1"/>
  <c r="P24" i="1"/>
  <c r="P23" i="1" s="1"/>
  <c r="W23" i="1"/>
  <c r="U23" i="1"/>
  <c r="Q23" i="1"/>
  <c r="O23" i="1"/>
  <c r="I23" i="1"/>
  <c r="Y22" i="1"/>
  <c r="AC22" i="1" s="1"/>
  <c r="AE22" i="1" s="1"/>
  <c r="R22" i="1"/>
  <c r="P22" i="1"/>
  <c r="W21" i="1"/>
  <c r="V21" i="1"/>
  <c r="U21" i="1"/>
  <c r="T21" i="1"/>
  <c r="S21" i="1"/>
  <c r="O21" i="1"/>
  <c r="M21" i="1"/>
  <c r="M11" i="1" s="1"/>
  <c r="J21" i="1"/>
  <c r="I21" i="1"/>
  <c r="G21" i="1"/>
  <c r="Y20" i="1"/>
  <c r="AC20" i="1" s="1"/>
  <c r="AE20" i="1" s="1"/>
  <c r="T20" i="1"/>
  <c r="R20" i="1"/>
  <c r="Y19" i="1"/>
  <c r="AA19" i="1" s="1"/>
  <c r="T19" i="1"/>
  <c r="P19" i="1"/>
  <c r="Y18" i="1"/>
  <c r="AC18" i="1" s="1"/>
  <c r="AE18" i="1" s="1"/>
  <c r="R18" i="1"/>
  <c r="P18" i="1"/>
  <c r="Y17" i="1"/>
  <c r="AC17" i="1" s="1"/>
  <c r="AE17" i="1" s="1"/>
  <c r="V17" i="1"/>
  <c r="P17" i="1"/>
  <c r="Y16" i="1"/>
  <c r="AA16" i="1" s="1"/>
  <c r="X16" i="1"/>
  <c r="Y15" i="1"/>
  <c r="AC15" i="1" s="1"/>
  <c r="AE15" i="1" s="1"/>
  <c r="V15" i="1"/>
  <c r="X15" i="1" s="1"/>
  <c r="AB15" i="1" s="1"/>
  <c r="AD15" i="1" s="1"/>
  <c r="AC14" i="1"/>
  <c r="AE14" i="1" s="1"/>
  <c r="S13" i="1"/>
  <c r="S12" i="1" s="1"/>
  <c r="X13" i="1"/>
  <c r="Q12" i="1"/>
  <c r="I12" i="1"/>
  <c r="X28" i="1" l="1"/>
  <c r="AB28" i="1" s="1"/>
  <c r="AD28" i="1" s="1"/>
  <c r="R14" i="1"/>
  <c r="S23" i="1"/>
  <c r="I11" i="1"/>
  <c r="AC30" i="1"/>
  <c r="AE30" i="1" s="1"/>
  <c r="L31" i="1"/>
  <c r="AC24" i="1"/>
  <c r="AE24" i="1" s="1"/>
  <c r="P14" i="1"/>
  <c r="O11" i="1"/>
  <c r="I31" i="1"/>
  <c r="Y13" i="1"/>
  <c r="AC13" i="1" s="1"/>
  <c r="AE13" i="1" s="1"/>
  <c r="X17" i="1"/>
  <c r="AB17" i="1" s="1"/>
  <c r="AD17" i="1" s="1"/>
  <c r="S34" i="1"/>
  <c r="S31" i="1" s="1"/>
  <c r="R36" i="1"/>
  <c r="X36" i="1" s="1"/>
  <c r="Z36" i="1" s="1"/>
  <c r="X18" i="1"/>
  <c r="AB18" i="1" s="1"/>
  <c r="AD18" i="1" s="1"/>
  <c r="Y21" i="1"/>
  <c r="AC21" i="1" s="1"/>
  <c r="AE21" i="1" s="1"/>
  <c r="W11" i="1"/>
  <c r="R32" i="1"/>
  <c r="O31" i="1"/>
  <c r="V14" i="1"/>
  <c r="V11" i="1" s="1"/>
  <c r="X22" i="1"/>
  <c r="Z22" i="1" s="1"/>
  <c r="S27" i="1"/>
  <c r="Y27" i="1" s="1"/>
  <c r="P32" i="1"/>
  <c r="AA15" i="1"/>
  <c r="X24" i="1"/>
  <c r="Y29" i="1"/>
  <c r="AA29" i="1" s="1"/>
  <c r="T32" i="1"/>
  <c r="P37" i="1"/>
  <c r="X20" i="1"/>
  <c r="Z20" i="1" s="1"/>
  <c r="U31" i="1"/>
  <c r="X19" i="1"/>
  <c r="Z19" i="1" s="1"/>
  <c r="T14" i="1"/>
  <c r="T11" i="1" s="1"/>
  <c r="Q11" i="1"/>
  <c r="R27" i="1"/>
  <c r="X38" i="1"/>
  <c r="Z38" i="1" s="1"/>
  <c r="U11" i="1"/>
  <c r="T37" i="1"/>
  <c r="Y37" i="1"/>
  <c r="AC38" i="1"/>
  <c r="AC37" i="1" s="1"/>
  <c r="AE37" i="1" s="1"/>
  <c r="AC36" i="1"/>
  <c r="AE36" i="1" s="1"/>
  <c r="Y32" i="1"/>
  <c r="AC32" i="1" s="1"/>
  <c r="AE32" i="1" s="1"/>
  <c r="AC35" i="1"/>
  <c r="AE35" i="1" s="1"/>
  <c r="Y34" i="1"/>
  <c r="Z35" i="1"/>
  <c r="P34" i="1"/>
  <c r="AB33" i="1"/>
  <c r="AD33" i="1" s="1"/>
  <c r="AD32" i="1" s="1"/>
  <c r="AB30" i="1"/>
  <c r="AD30" i="1" s="1"/>
  <c r="Z29" i="1"/>
  <c r="AC28" i="1"/>
  <c r="AE28" i="1" s="1"/>
  <c r="Z28" i="1"/>
  <c r="AA26" i="1"/>
  <c r="Z26" i="1"/>
  <c r="AA25" i="1"/>
  <c r="Y23" i="1"/>
  <c r="Z25" i="1"/>
  <c r="AB25" i="1"/>
  <c r="AD25" i="1" s="1"/>
  <c r="AA22" i="1"/>
  <c r="P21" i="1"/>
  <c r="R21" i="1"/>
  <c r="AA20" i="1"/>
  <c r="AC19" i="1"/>
  <c r="AE19" i="1" s="1"/>
  <c r="AB19" i="1"/>
  <c r="AD19" i="1" s="1"/>
  <c r="AA18" i="1"/>
  <c r="AA17" i="1"/>
  <c r="AC16" i="1"/>
  <c r="AE16" i="1" s="1"/>
  <c r="AB16" i="1"/>
  <c r="AD16" i="1" s="1"/>
  <c r="Z16" i="1"/>
  <c r="AA14" i="1"/>
  <c r="Z15" i="1"/>
  <c r="Z13" i="1"/>
  <c r="AB13" i="1"/>
  <c r="AD13" i="1" s="1"/>
  <c r="AD12" i="1" s="1"/>
  <c r="R34" i="1" l="1"/>
  <c r="I42" i="1"/>
  <c r="R11" i="1"/>
  <c r="Z18" i="1"/>
  <c r="AA21" i="1"/>
  <c r="AC29" i="1"/>
  <c r="AE29" i="1" s="1"/>
  <c r="AB20" i="1"/>
  <c r="AD20" i="1" s="1"/>
  <c r="Z17" i="1"/>
  <c r="AA13" i="1"/>
  <c r="T31" i="1"/>
  <c r="S11" i="1"/>
  <c r="AB22" i="1"/>
  <c r="AD22" i="1" s="1"/>
  <c r="AA27" i="1"/>
  <c r="AC27" i="1"/>
  <c r="AE27" i="1" s="1"/>
  <c r="AB38" i="1"/>
  <c r="AD38" i="1" s="1"/>
  <c r="AD37" i="1" s="1"/>
  <c r="Z24" i="1"/>
  <c r="AB24" i="1"/>
  <c r="AD24" i="1" s="1"/>
  <c r="O42" i="1"/>
  <c r="R31" i="1"/>
  <c r="P31" i="1"/>
  <c r="AA32" i="1"/>
  <c r="Y31" i="1"/>
  <c r="AC31" i="1" s="1"/>
  <c r="AE31" i="1" s="1"/>
  <c r="W31" i="1"/>
  <c r="V31" i="1" s="1"/>
  <c r="AE38" i="1"/>
  <c r="AB36" i="1"/>
  <c r="AD36" i="1" s="1"/>
  <c r="AA34" i="1"/>
  <c r="AC34" i="1"/>
  <c r="AE34" i="1" s="1"/>
  <c r="AB27" i="1"/>
  <c r="AD27" i="1" s="1"/>
  <c r="AB23" i="1"/>
  <c r="AD23" i="1" s="1"/>
  <c r="AC23" i="1"/>
  <c r="AE23" i="1" s="1"/>
  <c r="AA23" i="1"/>
  <c r="Y12" i="1"/>
  <c r="Y11" i="1" s="1"/>
  <c r="AB12" i="1"/>
  <c r="AB31" i="1" l="1"/>
  <c r="AD31" i="1" s="1"/>
  <c r="AA31" i="1"/>
  <c r="AB37" i="1"/>
  <c r="AB32" i="1"/>
  <c r="AB14" i="1"/>
  <c r="AD14" i="1" s="1"/>
  <c r="AB34" i="1"/>
  <c r="AD34" i="1" s="1"/>
  <c r="Y42" i="1"/>
  <c r="AC12" i="1"/>
  <c r="AA12" i="1"/>
  <c r="AB21" i="1"/>
  <c r="AD21" i="1" s="1"/>
  <c r="Z40" i="1" l="1"/>
  <c r="AA40" i="1"/>
  <c r="AA41" i="1" s="1"/>
  <c r="AA42" i="1"/>
  <c r="AA43" i="1" s="1"/>
  <c r="AC11" i="1"/>
  <c r="AC42" i="1" s="1"/>
  <c r="AE12" i="1"/>
  <c r="Z52" i="1" l="1"/>
  <c r="Z42" i="1"/>
  <c r="Z43" i="1" s="1"/>
  <c r="Z41" i="1"/>
</calcChain>
</file>

<file path=xl/sharedStrings.xml><?xml version="1.0" encoding="utf-8"?>
<sst xmlns="http://schemas.openxmlformats.org/spreadsheetml/2006/main" count="379" uniqueCount="213">
  <si>
    <t>TABEL T-C. 19</t>
  </si>
  <si>
    <t>EVALUASI HASIL PELAKSANAAN PERENCANAAN DAERAH SAMPAI DENGAN TAHUN BERJALAN</t>
  </si>
  <si>
    <t>KOTA DUMAI</t>
  </si>
  <si>
    <t>No</t>
  </si>
  <si>
    <t>Sasaran</t>
  </si>
  <si>
    <t xml:space="preserve">Kode </t>
  </si>
  <si>
    <t>Urusan/Bidang Urusan Pemerintahan Daerah dan Program/Kegiatan/Sub Kegiatan</t>
  </si>
  <si>
    <r>
      <rPr>
        <b/>
        <sz val="10"/>
        <rFont val="Bookman Old Style"/>
        <family val="1"/>
      </rPr>
      <t>Indikator Kinerja Program (</t>
    </r>
    <r>
      <rPr>
        <b/>
        <i/>
        <sz val="10"/>
        <rFont val="Bookman Old Style"/>
        <family val="1"/>
      </rPr>
      <t>Outcome</t>
    </r>
    <r>
      <rPr>
        <b/>
        <sz val="10"/>
        <rFont val="Bookman Old Style"/>
        <family val="1"/>
      </rPr>
      <t>)/ Kegiatan (</t>
    </r>
    <r>
      <rPr>
        <b/>
        <i/>
        <sz val="10"/>
        <rFont val="Bookman Old Style"/>
        <family val="1"/>
      </rPr>
      <t>Output</t>
    </r>
    <r>
      <rPr>
        <b/>
        <sz val="10"/>
        <rFont val="Bookman Old Style"/>
        <family val="1"/>
      </rPr>
      <t>)</t>
    </r>
  </si>
  <si>
    <t>Capaian Kinerja RPJMD pada Tahun 2026 (Akhir Periode RPJMD)</t>
  </si>
  <si>
    <t>Realisasi Capaian Kinerja RKPD s/d Tahun Lalu (Tahun 2023)</t>
  </si>
  <si>
    <t>Target Kinerja dan Anggaran RKPD Tahun berjalan yang dievaluasi (Tahun 2024)</t>
  </si>
  <si>
    <t>Realisasi Capaian Kinerja dan Anggaran RKPD yang dievaluasi (Tahun 2024)</t>
  </si>
  <si>
    <t>Tingkat Capaian Kinerja dan Realisasi Anggaran RKPD  (%)</t>
  </si>
  <si>
    <t>Realisasi Kinerja dan Anggaran RKPD s/d Tahun 2024</t>
  </si>
  <si>
    <t>Tingkat Capaian Kinerja dan Realisasi Anggaran RPJMD s/d Tahun 2024 (%)</t>
  </si>
  <si>
    <t>Perangkat Daerah Penanggung Jawab</t>
  </si>
  <si>
    <t>Keterangan</t>
  </si>
  <si>
    <t>I</t>
  </si>
  <si>
    <t>II</t>
  </si>
  <si>
    <t>III</t>
  </si>
  <si>
    <t>IV</t>
  </si>
  <si>
    <t>9 = I + II + III + IV</t>
  </si>
  <si>
    <t>10 = 9/8 x 100%</t>
  </si>
  <si>
    <t>11 = 7 + 9</t>
  </si>
  <si>
    <t>12 = 11/6 x100%</t>
  </si>
  <si>
    <t xml:space="preserve">Sasaran Kota </t>
  </si>
  <si>
    <t>Sasaran Perangkat Daerah</t>
  </si>
  <si>
    <t>K</t>
  </si>
  <si>
    <t>Rp</t>
  </si>
  <si>
    <t>Menigkatnya Akuntabilitas Badan Riset dan Inovasi Daerah</t>
  </si>
  <si>
    <t>URUSAN PENELITIAN DAN PENGEMBANGAN</t>
  </si>
  <si>
    <t>BADAN RISET DAN INOVASI DAERAH</t>
  </si>
  <si>
    <t>A</t>
  </si>
  <si>
    <t>Administrasi Keuangan Perangkat Daerah</t>
  </si>
  <si>
    <t>Penyediaan Gaji dan Tunjangan ASN</t>
  </si>
  <si>
    <t>Jumlah Orang yang Menerima Gaji dan Tunjangan ASN</t>
  </si>
  <si>
    <t>1.1.</t>
  </si>
  <si>
    <t>Administrasi Umum Perangkat Daerah</t>
  </si>
  <si>
    <t>5.05.01.2.06.0001</t>
  </si>
  <si>
    <t>Penyediaan Komponen Instalasi Listrik/Penerangan Bangunan Kantor</t>
  </si>
  <si>
    <t>Jumlah Paket Komponen Instalasi Listrik/Penerangan bangunan Kantor yang di sediakan</t>
  </si>
  <si>
    <t>Paket</t>
  </si>
  <si>
    <t>5.05.01.2.06.0002</t>
  </si>
  <si>
    <t>Penyediaan Peralatan dan Perlengkapan Kantor</t>
  </si>
  <si>
    <t xml:space="preserve">Jumlah Paket Peralatan dan Perlengkapan kantor yang disediakan </t>
  </si>
  <si>
    <t>5.05.01.2.06.0003</t>
  </si>
  <si>
    <t>Penyediaan Peralatan Rumah Tangga</t>
  </si>
  <si>
    <t xml:space="preserve">Jumlah Paket Peralatan rumah tangga yang disediakan </t>
  </si>
  <si>
    <t>5.05.01.2.06.0004</t>
  </si>
  <si>
    <t>Penyediaan Bahan Logistik Kantor</t>
  </si>
  <si>
    <t>Jumlah Paket bahan Logistik kantor yang disediakan</t>
  </si>
  <si>
    <t>5.05.01.2.06.0005</t>
  </si>
  <si>
    <t>Penyediaan Barang Cetakan dan Penggandaan</t>
  </si>
  <si>
    <t>Jumlah Paket bahan cetakan dan penggandaan yang disediakan</t>
  </si>
  <si>
    <t>5.05.01.2.06.0009</t>
  </si>
  <si>
    <t>Penyelenggaraan Rapat Koordinasi dan Konsultasi SKPD</t>
  </si>
  <si>
    <t>Jumlah Laporan Penyelenggaraan rapat koordinasi dan konsultasi SKPD</t>
  </si>
  <si>
    <t>Laporan</t>
  </si>
  <si>
    <t>Pengadaan Barang Milik daerah penunjang urusan pemerintah daerah</t>
  </si>
  <si>
    <t xml:space="preserve">Laporan </t>
  </si>
  <si>
    <t>5.05.01.2.07.0006</t>
  </si>
  <si>
    <t xml:space="preserve">Pengadaan Peralatan dan Mesin lainnya </t>
  </si>
  <si>
    <t>Jumlah unit peralatan dan mesin lainnya yang disediakan</t>
  </si>
  <si>
    <t>Unit</t>
  </si>
  <si>
    <t>B</t>
  </si>
  <si>
    <t>Penyediaan Jasa Penunjang Urusan Pemerintahan Daerah</t>
  </si>
  <si>
    <t>Persentase peningkatan diversifikasi dan ketahanan pangan masyarakat</t>
  </si>
  <si>
    <t>%</t>
  </si>
  <si>
    <t>3.1</t>
  </si>
  <si>
    <t>5.05.01.2.08.0001</t>
  </si>
  <si>
    <t>Penyediaan Jasa Surat Menyurat</t>
  </si>
  <si>
    <t xml:space="preserve">Jumlah Laporan Penyediaan jasa surat menyurat </t>
  </si>
  <si>
    <t>3.2</t>
  </si>
  <si>
    <t>5.05.01.2.08.0002</t>
  </si>
  <si>
    <t>Penyediaan Jasa Komunikasi, Sumber Daya Air dan Listrik</t>
  </si>
  <si>
    <t>Jumlah Laporan Penyediaan jasa komunikasi sumber daya air dan listrik yang disediakan</t>
  </si>
  <si>
    <t>3.3</t>
  </si>
  <si>
    <t>5.05.01.2.08.0004</t>
  </si>
  <si>
    <t>Penyediaan Jasa Pelayanan Umum Kantor</t>
  </si>
  <si>
    <t>Jumlah Laporan penyediaan jasa pelayanan umum kantor yang disediakan</t>
  </si>
  <si>
    <t>Pemeliharaan Barang Milik Daerah Penunjang Urusan Pemerintahan Daerah</t>
  </si>
  <si>
    <t>Dokumen</t>
  </si>
  <si>
    <t>4.1</t>
  </si>
  <si>
    <t>5.05.01.2.09.0001</t>
  </si>
  <si>
    <t>Penyediaan Jasa Pemeliharaan, Biaya Pemeliharaan dan Pajak Kendaraan Perorangan Dinas atau Kendaraan Dinas Jabatan</t>
  </si>
  <si>
    <t>Jumlah Kendaraan Perorangan Dinas atau kendaraan dinas jabatan yang dipelihara dan dibayarkan pajaknya</t>
  </si>
  <si>
    <t>unit</t>
  </si>
  <si>
    <t>4.2</t>
  </si>
  <si>
    <t>5.05.01.2.09.0002</t>
  </si>
  <si>
    <t>Penyediaan Jasa Pemeliharaan, Biaya Pemeliharaan, Pajak dan Perizinan Kendaraan Dinas Operasional atau Lapangan</t>
  </si>
  <si>
    <t>Jumlah Kendaraan dinas Operasional atau lapangan yang dipelihara dan dibayarkan pajak dan perizinannya</t>
  </si>
  <si>
    <t>4.3</t>
  </si>
  <si>
    <t>5.05.01.2.09.0006</t>
  </si>
  <si>
    <t>Pemeliharaan Peralatan dan Mesin Lainnya</t>
  </si>
  <si>
    <t>Jumlah Peralatan dan Mesin Lainnya yang dipelihara</t>
  </si>
  <si>
    <t>Menigkatnya Inovasi daerah</t>
  </si>
  <si>
    <t>Menigkatnya Implementasi Hasil Kelitbangn Dalam Kebijakan Perencanaan Pembangunan Daerah</t>
  </si>
  <si>
    <t>PROGRAM PENELITIAN DAN PENGEMBANGAN DAERAH</t>
  </si>
  <si>
    <t>Prosentase Hasil Kelitbangan yang Implentaif</t>
  </si>
  <si>
    <t>C</t>
  </si>
  <si>
    <t>Penelitian dan Pengembangan Bidang Penyelenggaraan Pemerintahan dan Pengkajian Peraturan</t>
  </si>
  <si>
    <t>Jumlah Dokumen Penelitian Bidang Penyelenggaraan Pemerintahn dan Pengkajian Peraturan</t>
  </si>
  <si>
    <t>5.05.02.2.01.012</t>
  </si>
  <si>
    <t>Pengelolaan Data Kelitbangan dan Peraturan</t>
  </si>
  <si>
    <t>Jumlah data Kelitbangan dan Peraturan yang Terkelola dengan Baik</t>
  </si>
  <si>
    <t>Penelitian dan Pengembangan Bidang Ekonomi dan Pembangunan</t>
  </si>
  <si>
    <t>5.1</t>
  </si>
  <si>
    <t>5.05.02.2.03.0002</t>
  </si>
  <si>
    <t>Peneliian dan Pengembangan Bidang Industri dan Perdagangan</t>
  </si>
  <si>
    <t>Jumlah Dokumen Hasil Penelitian dan Pengembangan Perindustrian dan Perdagangan</t>
  </si>
  <si>
    <t>5.2</t>
  </si>
  <si>
    <t>5.05.02.2.03.0009</t>
  </si>
  <si>
    <t>Penelitan dan Pengembangan Pekerjaan Umum</t>
  </si>
  <si>
    <t>Jumlah Dokumen Hasil Penelitian dan Pengembangan Pekerjaan Umum</t>
  </si>
  <si>
    <t>Pengembangan Inovasi dan Teknologi</t>
  </si>
  <si>
    <t>Jumlah Dokumen Pengembangan Inovasi dan Teknologi</t>
  </si>
  <si>
    <t>6.1</t>
  </si>
  <si>
    <t>5.05.02.2.04.03</t>
  </si>
  <si>
    <t>Diseminasi Jenis, Prosedur dan Metode Penyelenggaraan Pemerintahan Daerah yang Bersifat Inovatif</t>
  </si>
  <si>
    <t>Jumlah Laporan Hasil Pelaksanaan Diseminasi Jenis, Prosedur dan Metode Penyelenggaraan Pemerintah Daerah yang Bersifat Inovatif</t>
  </si>
  <si>
    <t>6.2</t>
  </si>
  <si>
    <t>5.05.5.01.0.002.2.04.04.</t>
  </si>
  <si>
    <t>Sosialisasi dan Diseminasi Hasil-hasil Kelitbangan</t>
  </si>
  <si>
    <t>Jumlah Laporan Hasil Penyelenggaraan Sosialisasi dan Diseminasi Hasil-hasil Kelitbangan</t>
  </si>
  <si>
    <t>Rata-Rata Capaian Kinerja (%)</t>
  </si>
  <si>
    <t>Predikat Kinerja</t>
  </si>
  <si>
    <t>JUMLAH</t>
  </si>
  <si>
    <t>TOTAL RATA-RATA CAPAIAN KINERJA DAN ANGGARAN DARI SELURUH PROGRAM</t>
  </si>
  <si>
    <t>PREDIKAT KINERJA DARI SELURUH PROGRAM</t>
  </si>
  <si>
    <t xml:space="preserve">Faktor pendorong keberhasilan kinerja </t>
  </si>
  <si>
    <t>: Sinergitas Aparatur pada OPD yang Optimal</t>
  </si>
  <si>
    <t>Faktor penghambat pencapaian kinerja</t>
  </si>
  <si>
    <t>: Adanya penyesuaian Rekening Belanja ,Sehingga Proses Kontrak Kerja Dimulai pada Saat Pertengahan Tahun</t>
  </si>
  <si>
    <t xml:space="preserve">Tindak lanjut yang diperlukan dalam triwulan berikutnya </t>
  </si>
  <si>
    <t>: Mempercepat Proses Kontrak Kerja dengan Rekanan</t>
  </si>
  <si>
    <t xml:space="preserve">Tindak lanjut yang diperlukan dalam RKPD berikutnya </t>
  </si>
  <si>
    <t>: Meminimalkan kesalahan penggunaan Rekening Belanja pada Tahap Perencanaan Anggaran</t>
  </si>
  <si>
    <t xml:space="preserve">; Terbentuknya OPD baru Brida pada awal thn 2004 , sehngga Program Penelitian dan Pengembangan dibawah Bappedalitbang menjadi Tupoksi Badan Riset dan Inovasi Daerah dan telah dilakukan penyesuain Renstra SKPD  </t>
  </si>
  <si>
    <t>No.</t>
  </si>
  <si>
    <t xml:space="preserve">INTERVAL NILAI REALISASI KINERJA </t>
  </si>
  <si>
    <t xml:space="preserve">KRITERIA PENILAIAN REALISASI KINERJA </t>
  </si>
  <si>
    <r>
      <rPr>
        <sz val="10"/>
        <color indexed="8"/>
        <rFont val="Bookman Old Style"/>
        <family val="1"/>
      </rPr>
      <t>(1)              </t>
    </r>
  </si>
  <si>
    <r>
      <rPr>
        <sz val="10"/>
        <color indexed="8"/>
        <rFont val="Bookman Old Style"/>
        <family val="1"/>
      </rPr>
      <t>91% ≤ 100%</t>
    </r>
  </si>
  <si>
    <t>Sangat tinggi</t>
  </si>
  <si>
    <t>Capaian Kinerja yang sebenarnya</t>
  </si>
  <si>
    <t>KEPALA BADAN RISET DAN INOVASI DAERAH</t>
  </si>
  <si>
    <r>
      <rPr>
        <sz val="10"/>
        <color indexed="8"/>
        <rFont val="Bookman Old Style"/>
        <family val="1"/>
      </rPr>
      <t>(2)              </t>
    </r>
  </si>
  <si>
    <r>
      <rPr>
        <sz val="10"/>
        <color indexed="8"/>
        <rFont val="Bookman Old Style"/>
        <family val="1"/>
      </rPr>
      <t xml:space="preserve">76% ≤ 90% </t>
    </r>
  </si>
  <si>
    <t>Tinggi</t>
  </si>
  <si>
    <r>
      <rPr>
        <sz val="10"/>
        <color indexed="8"/>
        <rFont val="Bookman Old Style"/>
        <family val="1"/>
      </rPr>
      <t>(3)              </t>
    </r>
  </si>
  <si>
    <r>
      <rPr>
        <sz val="10"/>
        <color indexed="8"/>
        <rFont val="Bookman Old Style"/>
        <family val="1"/>
      </rPr>
      <t>66% ≤ 75%</t>
    </r>
  </si>
  <si>
    <t>Sedang</t>
  </si>
  <si>
    <r>
      <rPr>
        <sz val="10"/>
        <color indexed="8"/>
        <rFont val="Bookman Old Style"/>
        <family val="1"/>
      </rPr>
      <t>(4)              </t>
    </r>
  </si>
  <si>
    <r>
      <rPr>
        <sz val="10"/>
        <color indexed="8"/>
        <rFont val="Bookman Old Style"/>
        <family val="1"/>
      </rPr>
      <t>51% ≤ 65%</t>
    </r>
  </si>
  <si>
    <t>Rendah</t>
  </si>
  <si>
    <r>
      <rPr>
        <sz val="10"/>
        <color indexed="8"/>
        <rFont val="Bookman Old Style"/>
        <family val="1"/>
      </rPr>
      <t>(5)              </t>
    </r>
  </si>
  <si>
    <r>
      <rPr>
        <sz val="10"/>
        <color indexed="8"/>
        <rFont val="Bookman Old Style"/>
        <family val="1"/>
      </rPr>
      <t>≤ 50%</t>
    </r>
  </si>
  <si>
    <t>Sangat Rendah</t>
  </si>
  <si>
    <t>( .....................................)</t>
  </si>
  <si>
    <t>Petunjuk Pengisian:</t>
  </si>
  <si>
    <t xml:space="preserve">Kolom 1 </t>
  </si>
  <si>
    <t>Diisi dengan nomor urut Program, Kegiatan dan Sub Kegiatan</t>
  </si>
  <si>
    <t>Kolom 2</t>
  </si>
  <si>
    <t>Wajib mengisi Sasaran Kota dan Sasaran Perangkat Daerah pada tahun berkenaan sebagaimana tercantum dalam RKPD yang menjadi target kinerja hasil Program/Kegiatan Prioritas RKPD</t>
  </si>
  <si>
    <t>Kolom 3</t>
  </si>
  <si>
    <t xml:space="preserve">Wajib diisi dengan Kode Rekening Program, Kegiatan dan Sub Kegiatan </t>
  </si>
  <si>
    <t>Kolom 4</t>
  </si>
  <si>
    <r>
      <rPr>
        <sz val="11"/>
        <color rgb="FF000000"/>
        <rFont val="Bookman Old Style"/>
        <family val="1"/>
      </rPr>
      <t xml:space="preserve">Wajib mengisi Nama </t>
    </r>
    <r>
      <rPr>
        <b/>
        <sz val="11"/>
        <color rgb="FF000000"/>
        <rFont val="Bookman Old Style"/>
        <family val="1"/>
      </rPr>
      <t>Urusan</t>
    </r>
    <r>
      <rPr>
        <sz val="11"/>
        <color rgb="FF000000"/>
        <rFont val="Bookman Old Style"/>
        <family val="1"/>
      </rPr>
      <t>, Program, Kegiatan dan Sub Kegiatan</t>
    </r>
  </si>
  <si>
    <t>Kolom 5</t>
  </si>
  <si>
    <t>Wajib mengisi Indikator Program (Outcome)/ Kegiatan/Sub Kegiatan (Output) sesuai dengan RKPD/Renja Tahun 2024</t>
  </si>
  <si>
    <t>Kolom 6</t>
  </si>
  <si>
    <t>Wajib diisi dengan kondisi yang ingin dicapai diakhir RPJMD Kota Dumai</t>
  </si>
  <si>
    <t>Kolom 7</t>
  </si>
  <si>
    <t>Wajib diisi dengan Total Penjumlahan Realisasi APBD selama 3 (tiga) tahun dimulai dari Tahun 2021 sampai dengan 2023</t>
  </si>
  <si>
    <t>Kolom 8</t>
  </si>
  <si>
    <t>Wajib diisi dengan Anggaran Program/Kegiatan/Sub Kegiatan yang terdapat pada SPJ Fungsional/LRA Tahun 2024</t>
  </si>
  <si>
    <t xml:space="preserve">Kolom 9 </t>
  </si>
  <si>
    <t>Wajib diisi dengan cara melakukan penjumlah komulatif Realisasi Capaian Kinerja dan Anggaran dari setiap Triwulan</t>
  </si>
  <si>
    <t>Kolom 10 - 12</t>
  </si>
  <si>
    <t>Wajib diisi sesuai Rumus</t>
  </si>
  <si>
    <t>Kolom 13</t>
  </si>
  <si>
    <t>Wsajib diisi dengan dengan nama Perangkat Daerah</t>
  </si>
  <si>
    <t>Kolom 14</t>
  </si>
  <si>
    <t>Wajib diisi jika terdapat kegiatan yang tidak direaliasikan/realisasi rendah atau tinggi akibat DAK/Dana Transfer atau karena permasalahan lainnya</t>
  </si>
  <si>
    <t xml:space="preserve">Wajib mengisi Faktor pendorong keberhasilan kinerja, Faktor penghambat pencapaian kinerja, Tindak lanjut yang diperlukan dalam triwulan berikutnya dan Tindak lanjut yang diperlukan dalam RKPD berikutnya </t>
  </si>
  <si>
    <t>EVALUASI TERHADAP HASIL RKPD</t>
  </si>
  <si>
    <t>TAHUN 2024</t>
  </si>
  <si>
    <t xml:space="preserve">Sasaran </t>
  </si>
  <si>
    <t>Kode</t>
  </si>
  <si>
    <t>Urusan/ Urusan Bidang Pemerintahan Daerah dan Program/ Kegiatan</t>
  </si>
  <si>
    <t>Indikator Kinerja Program (outcome)/ Kegiatan (output)</t>
  </si>
  <si>
    <t>Target RPJMD Kabupaten/Kota pada Tahun 2026 (Akhir Periode RPJMD)</t>
  </si>
  <si>
    <t>Realisasi Capaian Kinerja Kota Dumai RPJMD sampai dengan RKPD Tahun 2023</t>
  </si>
  <si>
    <t>Target kinerja dan anggaran RKPD tahun berjalan ( tahun 2024 yang dievaluasi)</t>
  </si>
  <si>
    <t>Realisasi Kinerja Pada Triwulan</t>
  </si>
  <si>
    <t>Realisasi Capaian Kinerja dan Anggaran RKPD yang dievaluasi (2024)</t>
  </si>
  <si>
    <t>Realisasi Kinerja dan Anggaran RPJMD s/d Tahun 2024(Akhir Tahun Pelaksanaan RKPD Tahun 2024)</t>
  </si>
  <si>
    <t>Tingkat Capaian Kinerja dan Realisasi Anggaran RPJMD  s/d tahun 2024 (%)</t>
  </si>
  <si>
    <t>SKPD Penanggungjawab</t>
  </si>
  <si>
    <t>14 =7 + 13</t>
  </si>
  <si>
    <t>15=14/6 x100%</t>
  </si>
  <si>
    <t>Sasaran Kota</t>
  </si>
  <si>
    <t>BADAN RAISET DAN INOVASI DAERAH</t>
  </si>
  <si>
    <t>PROGRAM PENUNJANG URUSAN PEMERINTAHAN DAERAH KABUPATEN/KOTA</t>
  </si>
  <si>
    <t>Rata-rata Capaian Kinerja (%)</t>
  </si>
  <si>
    <t>Prdikat Kinerja</t>
  </si>
  <si>
    <t>Dumai,          Juli 2024</t>
  </si>
  <si>
    <t>Hj. Erda Sriyani, S.AP.,M.IP</t>
  </si>
  <si>
    <t>Pembina Tk.I/Ivb</t>
  </si>
  <si>
    <t>NIP. 19690121 198810 2 001</t>
  </si>
  <si>
    <t xml:space="preserve">  - Adanya keterlambatan pencairan Anggaran pada Triwulan IV berdampak kepada beberapa sub kegiatan yang tidak mencapai target kinerja, sekaligus beberapa kegiatan yang mengalami penundaan pembayaran pada tahun berikutnya</t>
  </si>
  <si>
    <t>: - Adanya penyesuaian Rekening Belanja ,Sehingga Proses Kontrak Kerja Dimulai pada Saat Pertengahan Tahun</t>
  </si>
  <si>
    <t>Dumai,    Januari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</si>
</sst>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-* #,##0_-;\-* #,##0_-;_-* &quot;-&quot;??_-;_-@_-"/>
    <numFmt numFmtId="166" formatCode="_(* #,##0.00_);_(* \(#,##0.00\);_(* &quot;-&quot;??_);_(@_)"/>
    <numFmt numFmtId="167" formatCode="_(* #,##0_);_(* \(#,##0\);_(* &quot;-&quot;??_);_(@_)"/>
    <numFmt numFmtId="168" formatCode="_-* #,##0.00_-;\-* #,##0.00_-;_-* &quot;-&quot;_-;_-@_-"/>
    <numFmt numFmtId="169" formatCode="_(* #,##0.00_);_(* \(#,##0.00\);_(* &quot;-&quot;_);_(@_)"/>
    <numFmt numFmtId="170" formatCode="0.0%"/>
  </numFmts>
  <fonts count="24">
    <font>
      <sz val="11"/>
      <color theme="1"/>
      <name val="Calibri"/>
      <charset val="134"/>
      <scheme val="minor"/>
    </font>
    <font>
      <sz val="10"/>
      <color theme="1"/>
      <name val="Bookman Old Style"/>
      <family val="1"/>
    </font>
    <font>
      <b/>
      <sz val="10"/>
      <color theme="1"/>
      <name val="Bookman Old Style"/>
      <family val="1"/>
    </font>
    <font>
      <b/>
      <sz val="10"/>
      <color rgb="FF000000"/>
      <name val="Bookman Old Style"/>
      <family val="1"/>
    </font>
    <font>
      <sz val="10"/>
      <color rgb="FF000000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sz val="10"/>
      <color theme="0"/>
      <name val="Bookman Old Style"/>
      <family val="1"/>
    </font>
    <font>
      <b/>
      <sz val="10"/>
      <color theme="0"/>
      <name val="Bookman Old Style"/>
      <family val="1"/>
    </font>
    <font>
      <b/>
      <u/>
      <sz val="10"/>
      <color rgb="FF000000"/>
      <name val="Bookman Old Style"/>
      <family val="1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sz val="11"/>
      <color rgb="FF000000"/>
      <name val="Bookman Old Style"/>
      <family val="1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1"/>
      <color theme="0"/>
      <name val="Bookman Old Style"/>
      <family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Bookman Old Style"/>
      <family val="1"/>
    </font>
    <font>
      <b/>
      <i/>
      <sz val="10"/>
      <name val="Bookman Old Style"/>
      <family val="1"/>
    </font>
    <font>
      <b/>
      <sz val="11"/>
      <color rgb="FF000000"/>
      <name val="Bookman Old Style"/>
      <family val="1"/>
    </font>
    <font>
      <sz val="10"/>
      <color theme="1"/>
      <name val="Bookman Old Style"/>
      <family val="1"/>
    </font>
    <font>
      <sz val="10"/>
      <name val="Bookman Old Style"/>
      <family val="1"/>
    </font>
    <font>
      <b/>
      <sz val="10"/>
      <color rgb="FF000000"/>
      <name val="Bookman Old Style"/>
      <family val="1"/>
    </font>
  </fonts>
  <fills count="1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</borders>
  <cellStyleXfs count="6">
    <xf numFmtId="0" fontId="0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7" fillId="0" borderId="0"/>
  </cellStyleXfs>
  <cellXfs count="53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4" fillId="0" borderId="5" xfId="0" applyFont="1" applyBorder="1" applyAlignment="1">
      <alignment horizontal="right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right" wrapText="1"/>
    </xf>
    <xf numFmtId="0" fontId="4" fillId="2" borderId="6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/>
    </xf>
    <xf numFmtId="0" fontId="3" fillId="3" borderId="4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right" vertical="top"/>
    </xf>
    <xf numFmtId="0" fontId="1" fillId="3" borderId="6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3" fillId="4" borderId="4" xfId="0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right" vertical="top"/>
    </xf>
    <xf numFmtId="0" fontId="1" fillId="4" borderId="6" xfId="0" applyFont="1" applyFill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4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right" vertical="top"/>
    </xf>
    <xf numFmtId="0" fontId="1" fillId="0" borderId="6" xfId="0" applyFont="1" applyBorder="1" applyAlignment="1">
      <alignment horizontal="left" vertical="top"/>
    </xf>
    <xf numFmtId="0" fontId="4" fillId="4" borderId="4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vertical="top" wrapText="1"/>
    </xf>
    <xf numFmtId="0" fontId="3" fillId="5" borderId="4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vertical="top"/>
    </xf>
    <xf numFmtId="0" fontId="1" fillId="5" borderId="4" xfId="0" applyFont="1" applyFill="1" applyBorder="1" applyAlignment="1">
      <alignment vertical="top"/>
    </xf>
    <xf numFmtId="0" fontId="4" fillId="0" borderId="4" xfId="0" applyFont="1" applyBorder="1" applyAlignment="1">
      <alignment vertical="top" wrapText="1"/>
    </xf>
    <xf numFmtId="9" fontId="4" fillId="0" borderId="4" xfId="5" applyNumberFormat="1" applyFont="1" applyBorder="1" applyAlignment="1">
      <alignment vertical="top" wrapText="1"/>
    </xf>
    <xf numFmtId="0" fontId="4" fillId="0" borderId="4" xfId="5" applyFont="1" applyBorder="1" applyAlignment="1">
      <alignment vertical="top" wrapText="1"/>
    </xf>
    <xf numFmtId="165" fontId="1" fillId="0" borderId="5" xfId="1" applyNumberFormat="1" applyFont="1" applyFill="1" applyBorder="1" applyAlignment="1">
      <alignment vertical="top" wrapText="1"/>
    </xf>
    <xf numFmtId="0" fontId="5" fillId="0" borderId="5" xfId="0" applyFont="1" applyBorder="1" applyAlignment="1">
      <alignment horizontal="right" vertical="top" indent="1"/>
    </xf>
    <xf numFmtId="0" fontId="5" fillId="0" borderId="7" xfId="0" applyFont="1" applyBorder="1" applyAlignment="1">
      <alignment horizontal="right" vertical="top" indent="1"/>
    </xf>
    <xf numFmtId="0" fontId="4" fillId="6" borderId="5" xfId="0" applyFont="1" applyFill="1" applyBorder="1" applyAlignment="1">
      <alignment horizontal="left" vertical="top" indent="1"/>
    </xf>
    <xf numFmtId="0" fontId="4" fillId="6" borderId="7" xfId="0" applyFont="1" applyFill="1" applyBorder="1" applyAlignment="1">
      <alignment vertical="top"/>
    </xf>
    <xf numFmtId="0" fontId="4" fillId="6" borderId="7" xfId="0" applyFont="1" applyFill="1" applyBorder="1" applyAlignment="1">
      <alignment horizontal="center" vertical="top"/>
    </xf>
    <xf numFmtId="0" fontId="4" fillId="6" borderId="8" xfId="0" applyFont="1" applyFill="1" applyBorder="1" applyAlignment="1">
      <alignment horizontal="left" vertical="top" indent="1"/>
    </xf>
    <xf numFmtId="0" fontId="4" fillId="6" borderId="8" xfId="0" applyFont="1" applyFill="1" applyBorder="1" applyAlignment="1">
      <alignment vertical="top"/>
    </xf>
    <xf numFmtId="0" fontId="3" fillId="4" borderId="9" xfId="0" applyFont="1" applyFill="1" applyBorder="1" applyAlignment="1">
      <alignment vertical="center"/>
    </xf>
    <xf numFmtId="0" fontId="4" fillId="6" borderId="8" xfId="0" applyFont="1" applyFill="1" applyBorder="1" applyAlignment="1">
      <alignment horizontal="center" vertical="top"/>
    </xf>
    <xf numFmtId="0" fontId="1" fillId="0" borderId="10" xfId="0" applyFont="1" applyBorder="1"/>
    <xf numFmtId="0" fontId="1" fillId="0" borderId="11" xfId="0" applyFont="1" applyBorder="1"/>
    <xf numFmtId="0" fontId="4" fillId="7" borderId="4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2" fontId="4" fillId="7" borderId="4" xfId="0" applyNumberFormat="1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2" fontId="4" fillId="2" borderId="4" xfId="0" applyNumberFormat="1" applyFont="1" applyFill="1" applyBorder="1" applyAlignment="1">
      <alignment horizontal="center" wrapText="1"/>
    </xf>
    <xf numFmtId="166" fontId="3" fillId="3" borderId="4" xfId="0" applyNumberFormat="1" applyFont="1" applyFill="1" applyBorder="1" applyAlignment="1">
      <alignment horizontal="right" vertical="top" wrapText="1"/>
    </xf>
    <xf numFmtId="167" fontId="3" fillId="3" borderId="4" xfId="0" applyNumberFormat="1" applyFont="1" applyFill="1" applyBorder="1" applyAlignment="1">
      <alignment horizontal="right" vertical="top" wrapText="1"/>
    </xf>
    <xf numFmtId="0" fontId="4" fillId="3" borderId="5" xfId="0" applyFont="1" applyFill="1" applyBorder="1" applyAlignment="1">
      <alignment horizontal="righ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vertical="top" wrapText="1"/>
    </xf>
    <xf numFmtId="166" fontId="3" fillId="6" borderId="4" xfId="0" applyNumberFormat="1" applyFont="1" applyFill="1" applyBorder="1" applyAlignment="1">
      <alignment horizontal="right" vertical="top" wrapText="1"/>
    </xf>
    <xf numFmtId="0" fontId="4" fillId="6" borderId="5" xfId="0" applyFont="1" applyFill="1" applyBorder="1" applyAlignment="1">
      <alignment horizontal="righ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4" xfId="0" applyFont="1" applyFill="1" applyBorder="1" applyAlignment="1">
      <alignment vertical="top" wrapText="1"/>
    </xf>
    <xf numFmtId="166" fontId="1" fillId="0" borderId="4" xfId="0" applyNumberFormat="1" applyFont="1" applyBorder="1" applyAlignment="1">
      <alignment vertical="top"/>
    </xf>
    <xf numFmtId="0" fontId="4" fillId="0" borderId="5" xfId="0" applyFont="1" applyBorder="1" applyAlignment="1">
      <alignment horizontal="right" vertical="top" wrapText="1"/>
    </xf>
    <xf numFmtId="0" fontId="4" fillId="0" borderId="6" xfId="0" applyFont="1" applyBorder="1" applyAlignment="1">
      <alignment horizontal="left" vertical="top" wrapText="1"/>
    </xf>
    <xf numFmtId="166" fontId="4" fillId="0" borderId="4" xfId="0" applyNumberFormat="1" applyFont="1" applyBorder="1" applyAlignment="1">
      <alignment horizontal="right" vertical="top" wrapText="1"/>
    </xf>
    <xf numFmtId="2" fontId="4" fillId="7" borderId="4" xfId="0" applyNumberFormat="1" applyFont="1" applyFill="1" applyBorder="1" applyAlignment="1">
      <alignment vertical="top" wrapText="1"/>
    </xf>
    <xf numFmtId="166" fontId="1" fillId="0" borderId="4" xfId="3" applyNumberFormat="1" applyFont="1" applyBorder="1" applyAlignment="1">
      <alignment vertical="top"/>
    </xf>
    <xf numFmtId="41" fontId="1" fillId="0" borderId="4" xfId="3" applyFont="1" applyBorder="1" applyAlignment="1">
      <alignment vertical="top"/>
    </xf>
    <xf numFmtId="166" fontId="3" fillId="6" borderId="5" xfId="0" applyNumberFormat="1" applyFont="1" applyFill="1" applyBorder="1" applyAlignment="1">
      <alignment horizontal="right" vertical="top" wrapText="1"/>
    </xf>
    <xf numFmtId="166" fontId="3" fillId="6" borderId="6" xfId="0" applyNumberFormat="1" applyFont="1" applyFill="1" applyBorder="1" applyAlignment="1">
      <alignment horizontal="right" vertical="top" wrapText="1"/>
    </xf>
    <xf numFmtId="4" fontId="1" fillId="0" borderId="4" xfId="3" applyNumberFormat="1" applyFont="1" applyBorder="1" applyAlignment="1">
      <alignment vertical="top"/>
    </xf>
    <xf numFmtId="166" fontId="1" fillId="0" borderId="4" xfId="5" applyNumberFormat="1" applyFont="1" applyBorder="1" applyAlignment="1">
      <alignment horizontal="right" vertical="top" wrapText="1"/>
    </xf>
    <xf numFmtId="166" fontId="5" fillId="8" borderId="12" xfId="0" applyNumberFormat="1" applyFont="1" applyFill="1" applyBorder="1" applyAlignment="1">
      <alignment horizontal="center" vertical="top"/>
    </xf>
    <xf numFmtId="0" fontId="5" fillId="0" borderId="13" xfId="0" applyFont="1" applyBorder="1" applyAlignment="1">
      <alignment horizontal="right" vertical="top"/>
    </xf>
    <xf numFmtId="0" fontId="5" fillId="0" borderId="14" xfId="0" applyFont="1" applyBorder="1" applyAlignment="1">
      <alignment horizontal="right" vertical="top"/>
    </xf>
    <xf numFmtId="0" fontId="6" fillId="0" borderId="13" xfId="0" applyFont="1" applyBorder="1" applyAlignment="1">
      <alignment horizontal="right" vertical="top"/>
    </xf>
    <xf numFmtId="167" fontId="6" fillId="0" borderId="14" xfId="0" applyNumberFormat="1" applyFont="1" applyBorder="1" applyAlignment="1">
      <alignment horizontal="left" vertical="top"/>
    </xf>
    <xf numFmtId="0" fontId="5" fillId="0" borderId="13" xfId="0" applyFont="1" applyBorder="1" applyAlignment="1">
      <alignment horizontal="center" vertical="top"/>
    </xf>
    <xf numFmtId="166" fontId="5" fillId="0" borderId="4" xfId="0" applyNumberFormat="1" applyFont="1" applyBorder="1" applyAlignment="1">
      <alignment horizontal="center" vertical="top"/>
    </xf>
    <xf numFmtId="0" fontId="5" fillId="0" borderId="5" xfId="0" applyFont="1" applyBorder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10" fontId="5" fillId="0" borderId="4" xfId="2" applyNumberFormat="1" applyFont="1" applyFill="1" applyBorder="1" applyAlignment="1">
      <alignment horizontal="right" vertical="top"/>
    </xf>
    <xf numFmtId="10" fontId="2" fillId="0" borderId="4" xfId="0" applyNumberFormat="1" applyFont="1" applyBorder="1" applyAlignment="1">
      <alignment horizontal="right" vertical="top" wrapText="1"/>
    </xf>
    <xf numFmtId="0" fontId="6" fillId="0" borderId="5" xfId="0" applyFont="1" applyBorder="1" applyAlignment="1">
      <alignment horizontal="right" vertical="top"/>
    </xf>
    <xf numFmtId="167" fontId="6" fillId="0" borderId="6" xfId="0" applyNumberFormat="1" applyFont="1" applyBorder="1" applyAlignment="1">
      <alignment horizontal="left" vertical="top"/>
    </xf>
    <xf numFmtId="0" fontId="5" fillId="0" borderId="4" xfId="0" applyFont="1" applyBorder="1" applyAlignment="1">
      <alignment horizontal="center" vertical="top"/>
    </xf>
    <xf numFmtId="0" fontId="4" fillId="6" borderId="7" xfId="0" applyFont="1" applyFill="1" applyBorder="1" applyAlignment="1">
      <alignment horizontal="right" vertical="top"/>
    </xf>
    <xf numFmtId="41" fontId="4" fillId="6" borderId="7" xfId="4" applyNumberFormat="1" applyFont="1" applyFill="1" applyBorder="1" applyAlignment="1">
      <alignment vertical="top"/>
    </xf>
    <xf numFmtId="0" fontId="7" fillId="6" borderId="7" xfId="0" applyFont="1" applyFill="1" applyBorder="1" applyAlignment="1">
      <alignment vertical="top"/>
    </xf>
    <xf numFmtId="41" fontId="7" fillId="6" borderId="7" xfId="4" applyNumberFormat="1" applyFont="1" applyFill="1" applyBorder="1" applyAlignment="1">
      <alignment vertical="top"/>
    </xf>
    <xf numFmtId="0" fontId="7" fillId="6" borderId="7" xfId="0" applyFont="1" applyFill="1" applyBorder="1" applyAlignment="1">
      <alignment horizontal="right" vertical="top"/>
    </xf>
    <xf numFmtId="0" fontId="7" fillId="6" borderId="8" xfId="0" applyFont="1" applyFill="1" applyBorder="1" applyAlignment="1">
      <alignment vertical="top"/>
    </xf>
    <xf numFmtId="41" fontId="7" fillId="6" borderId="8" xfId="4" applyNumberFormat="1" applyFont="1" applyFill="1" applyBorder="1" applyAlignment="1">
      <alignment vertical="top"/>
    </xf>
    <xf numFmtId="0" fontId="7" fillId="6" borderId="8" xfId="0" applyFont="1" applyFill="1" applyBorder="1" applyAlignment="1">
      <alignment horizontal="right" vertical="top"/>
    </xf>
    <xf numFmtId="166" fontId="3" fillId="3" borderId="4" xfId="0" applyNumberFormat="1" applyFont="1" applyFill="1" applyBorder="1" applyAlignment="1">
      <alignment vertical="top" wrapText="1"/>
    </xf>
    <xf numFmtId="167" fontId="3" fillId="3" borderId="4" xfId="0" applyNumberFormat="1" applyFont="1" applyFill="1" applyBorder="1" applyAlignment="1">
      <alignment vertical="top" wrapText="1"/>
    </xf>
    <xf numFmtId="2" fontId="3" fillId="9" borderId="4" xfId="0" applyNumberFormat="1" applyFont="1" applyFill="1" applyBorder="1" applyAlignment="1">
      <alignment vertical="top" wrapText="1"/>
    </xf>
    <xf numFmtId="166" fontId="3" fillId="6" borderId="4" xfId="0" applyNumberFormat="1" applyFont="1" applyFill="1" applyBorder="1" applyAlignment="1">
      <alignment vertical="top" wrapText="1"/>
    </xf>
    <xf numFmtId="167" fontId="3" fillId="6" borderId="4" xfId="0" applyNumberFormat="1" applyFont="1" applyFill="1" applyBorder="1" applyAlignment="1">
      <alignment vertical="top" wrapText="1"/>
    </xf>
    <xf numFmtId="2" fontId="3" fillId="6" borderId="4" xfId="0" applyNumberFormat="1" applyFont="1" applyFill="1" applyBorder="1" applyAlignment="1">
      <alignment vertical="top" wrapText="1"/>
    </xf>
    <xf numFmtId="166" fontId="4" fillId="7" borderId="4" xfId="0" applyNumberFormat="1" applyFont="1" applyFill="1" applyBorder="1" applyAlignment="1">
      <alignment vertical="top" wrapText="1"/>
    </xf>
    <xf numFmtId="167" fontId="4" fillId="7" borderId="15" xfId="0" applyNumberFormat="1" applyFont="1" applyFill="1" applyBorder="1" applyAlignment="1">
      <alignment horizontal="center" vertical="top" wrapText="1"/>
    </xf>
    <xf numFmtId="0" fontId="1" fillId="7" borderId="4" xfId="0" applyFont="1" applyFill="1" applyBorder="1" applyAlignment="1">
      <alignment vertical="top"/>
    </xf>
    <xf numFmtId="2" fontId="4" fillId="5" borderId="4" xfId="0" applyNumberFormat="1" applyFont="1" applyFill="1" applyBorder="1" applyAlignment="1">
      <alignment vertical="top" wrapText="1"/>
    </xf>
    <xf numFmtId="167" fontId="2" fillId="4" borderId="4" xfId="0" applyNumberFormat="1" applyFont="1" applyFill="1" applyBorder="1" applyAlignment="1">
      <alignment vertical="top"/>
    </xf>
    <xf numFmtId="167" fontId="4" fillId="7" borderId="4" xfId="0" applyNumberFormat="1" applyFont="1" applyFill="1" applyBorder="1" applyAlignment="1">
      <alignment vertical="top" wrapText="1"/>
    </xf>
    <xf numFmtId="2" fontId="4" fillId="6" borderId="4" xfId="0" applyNumberFormat="1" applyFont="1" applyFill="1" applyBorder="1" applyAlignment="1">
      <alignment vertical="top" wrapText="1"/>
    </xf>
    <xf numFmtId="167" fontId="2" fillId="3" borderId="4" xfId="0" applyNumberFormat="1" applyFont="1" applyFill="1" applyBorder="1" applyAlignment="1">
      <alignment vertical="top"/>
    </xf>
    <xf numFmtId="165" fontId="1" fillId="7" borderId="4" xfId="1" applyNumberFormat="1" applyFont="1" applyFill="1" applyBorder="1" applyAlignment="1">
      <alignment vertical="top"/>
    </xf>
    <xf numFmtId="0" fontId="5" fillId="0" borderId="12" xfId="0" applyFont="1" applyBorder="1" applyAlignment="1">
      <alignment horizontal="center" vertical="top"/>
    </xf>
    <xf numFmtId="43" fontId="5" fillId="0" borderId="12" xfId="1" applyFont="1" applyBorder="1" applyAlignment="1">
      <alignment horizontal="center" vertical="top"/>
    </xf>
    <xf numFmtId="10" fontId="5" fillId="0" borderId="4" xfId="2" applyNumberFormat="1" applyFont="1" applyFill="1" applyBorder="1" applyAlignment="1">
      <alignment horizontal="center" vertical="top"/>
    </xf>
    <xf numFmtId="10" fontId="5" fillId="2" borderId="4" xfId="2" applyNumberFormat="1" applyFont="1" applyFill="1" applyBorder="1" applyAlignment="1">
      <alignment horizontal="right" vertical="top"/>
    </xf>
    <xf numFmtId="0" fontId="1" fillId="6" borderId="7" xfId="0" applyFont="1" applyFill="1" applyBorder="1" applyAlignment="1">
      <alignment vertical="top"/>
    </xf>
    <xf numFmtId="0" fontId="3" fillId="6" borderId="7" xfId="0" applyFont="1" applyFill="1" applyBorder="1" applyAlignment="1">
      <alignment horizontal="center" vertical="top"/>
    </xf>
    <xf numFmtId="0" fontId="7" fillId="6" borderId="7" xfId="0" applyFont="1" applyFill="1" applyBorder="1" applyAlignment="1">
      <alignment horizontal="center" vertical="top"/>
    </xf>
    <xf numFmtId="168" fontId="1" fillId="6" borderId="7" xfId="4" applyNumberFormat="1" applyFont="1" applyFill="1" applyBorder="1" applyAlignment="1">
      <alignment vertical="top"/>
    </xf>
    <xf numFmtId="0" fontId="8" fillId="6" borderId="7" xfId="0" applyFont="1" applyFill="1" applyBorder="1" applyAlignment="1">
      <alignment horizontal="center" vertical="top"/>
    </xf>
    <xf numFmtId="0" fontId="7" fillId="6" borderId="8" xfId="0" applyFont="1" applyFill="1" applyBorder="1" applyAlignment="1">
      <alignment horizontal="center" vertical="top"/>
    </xf>
    <xf numFmtId="168" fontId="1" fillId="6" borderId="8" xfId="4" applyNumberFormat="1" applyFont="1" applyFill="1" applyBorder="1" applyAlignment="1">
      <alignment vertical="top"/>
    </xf>
    <xf numFmtId="0" fontId="8" fillId="6" borderId="8" xfId="0" applyFont="1" applyFill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168" fontId="3" fillId="9" borderId="4" xfId="0" applyNumberFormat="1" applyFont="1" applyFill="1" applyBorder="1" applyAlignment="1">
      <alignment vertical="top" wrapText="1"/>
    </xf>
    <xf numFmtId="2" fontId="2" fillId="3" borderId="4" xfId="0" applyNumberFormat="1" applyFont="1" applyFill="1" applyBorder="1" applyAlignment="1">
      <alignment vertical="top"/>
    </xf>
    <xf numFmtId="168" fontId="2" fillId="3" borderId="4" xfId="4" applyNumberFormat="1" applyFont="1" applyFill="1" applyBorder="1" applyAlignment="1">
      <alignment vertical="top"/>
    </xf>
    <xf numFmtId="10" fontId="2" fillId="3" borderId="4" xfId="4" applyNumberFormat="1" applyFont="1" applyFill="1" applyBorder="1" applyAlignment="1">
      <alignment vertical="top"/>
    </xf>
    <xf numFmtId="0" fontId="1" fillId="3" borderId="23" xfId="0" applyFont="1" applyFill="1" applyBorder="1" applyAlignment="1">
      <alignment vertical="top" wrapText="1"/>
    </xf>
    <xf numFmtId="2" fontId="2" fillId="4" borderId="4" xfId="0" applyNumberFormat="1" applyFont="1" applyFill="1" applyBorder="1" applyAlignment="1">
      <alignment vertical="top"/>
    </xf>
    <xf numFmtId="164" fontId="2" fillId="4" borderId="4" xfId="4" applyFont="1" applyFill="1" applyBorder="1" applyAlignment="1">
      <alignment vertical="top"/>
    </xf>
    <xf numFmtId="10" fontId="2" fillId="4" borderId="4" xfId="2" applyNumberFormat="1" applyFont="1" applyFill="1" applyBorder="1" applyAlignment="1">
      <alignment vertical="top"/>
    </xf>
    <xf numFmtId="0" fontId="1" fillId="4" borderId="23" xfId="0" applyFont="1" applyFill="1" applyBorder="1" applyAlignment="1">
      <alignment vertical="top"/>
    </xf>
    <xf numFmtId="167" fontId="4" fillId="0" borderId="4" xfId="0" applyNumberFormat="1" applyFont="1" applyBorder="1" applyAlignment="1">
      <alignment vertical="top" wrapText="1"/>
    </xf>
    <xf numFmtId="2" fontId="1" fillId="5" borderId="4" xfId="0" applyNumberFormat="1" applyFont="1" applyFill="1" applyBorder="1" applyAlignment="1">
      <alignment vertical="top"/>
    </xf>
    <xf numFmtId="164" fontId="1" fillId="5" borderId="4" xfId="4" applyFont="1" applyFill="1" applyBorder="1" applyAlignment="1">
      <alignment vertical="top"/>
    </xf>
    <xf numFmtId="10" fontId="1" fillId="5" borderId="4" xfId="2" applyNumberFormat="1" applyFont="1" applyFill="1" applyBorder="1" applyAlignment="1">
      <alignment vertical="top"/>
    </xf>
    <xf numFmtId="10" fontId="1" fillId="0" borderId="4" xfId="0" applyNumberFormat="1" applyFont="1" applyBorder="1" applyAlignment="1">
      <alignment vertical="top"/>
    </xf>
    <xf numFmtId="0" fontId="1" fillId="0" borderId="23" xfId="0" applyFont="1" applyBorder="1" applyAlignment="1">
      <alignment vertical="top"/>
    </xf>
    <xf numFmtId="10" fontId="2" fillId="4" borderId="4" xfId="0" applyNumberFormat="1" applyFont="1" applyFill="1" applyBorder="1" applyAlignment="1">
      <alignment vertical="top"/>
    </xf>
    <xf numFmtId="2" fontId="1" fillId="4" borderId="4" xfId="0" applyNumberFormat="1" applyFont="1" applyFill="1" applyBorder="1" applyAlignment="1">
      <alignment vertical="top"/>
    </xf>
    <xf numFmtId="164" fontId="1" fillId="4" borderId="4" xfId="4" applyFont="1" applyFill="1" applyBorder="1" applyAlignment="1">
      <alignment vertical="top"/>
    </xf>
    <xf numFmtId="10" fontId="1" fillId="4" borderId="4" xfId="2" applyNumberFormat="1" applyFont="1" applyFill="1" applyBorder="1" applyAlignment="1">
      <alignment vertical="top"/>
    </xf>
    <xf numFmtId="10" fontId="1" fillId="4" borderId="4" xfId="0" applyNumberFormat="1" applyFont="1" applyFill="1" applyBorder="1" applyAlignment="1">
      <alignment vertical="top"/>
    </xf>
    <xf numFmtId="167" fontId="3" fillId="9" borderId="4" xfId="0" applyNumberFormat="1" applyFont="1" applyFill="1" applyBorder="1" applyAlignment="1">
      <alignment vertical="top" wrapText="1"/>
    </xf>
    <xf numFmtId="2" fontId="1" fillId="3" borderId="4" xfId="0" applyNumberFormat="1" applyFont="1" applyFill="1" applyBorder="1" applyAlignment="1">
      <alignment vertical="top"/>
    </xf>
    <xf numFmtId="164" fontId="1" fillId="3" borderId="4" xfId="4" applyFont="1" applyFill="1" applyBorder="1" applyAlignment="1">
      <alignment vertical="top"/>
    </xf>
    <xf numFmtId="10" fontId="1" fillId="3" borderId="4" xfId="2" applyNumberFormat="1" applyFont="1" applyFill="1" applyBorder="1" applyAlignment="1">
      <alignment vertical="top"/>
    </xf>
    <xf numFmtId="10" fontId="1" fillId="3" borderId="4" xfId="0" applyNumberFormat="1" applyFont="1" applyFill="1" applyBorder="1" applyAlignment="1">
      <alignment vertical="top"/>
    </xf>
    <xf numFmtId="0" fontId="1" fillId="3" borderId="23" xfId="0" applyFont="1" applyFill="1" applyBorder="1" applyAlignment="1">
      <alignment vertical="top"/>
    </xf>
    <xf numFmtId="0" fontId="1" fillId="5" borderId="23" xfId="0" applyFont="1" applyFill="1" applyBorder="1" applyAlignment="1">
      <alignment vertical="top"/>
    </xf>
    <xf numFmtId="10" fontId="2" fillId="0" borderId="13" xfId="2" applyNumberFormat="1" applyFont="1" applyFill="1" applyBorder="1" applyAlignment="1" applyProtection="1">
      <alignment horizontal="right" vertical="top"/>
      <protection locked="0"/>
    </xf>
    <xf numFmtId="10" fontId="2" fillId="0" borderId="8" xfId="0" applyNumberFormat="1" applyFont="1" applyBorder="1" applyAlignment="1">
      <alignment horizontal="right" vertical="top"/>
    </xf>
    <xf numFmtId="0" fontId="1" fillId="0" borderId="14" xfId="0" applyFont="1" applyBorder="1" applyAlignment="1">
      <alignment vertical="top"/>
    </xf>
    <xf numFmtId="167" fontId="5" fillId="0" borderId="4" xfId="0" applyNumberFormat="1" applyFont="1" applyBorder="1" applyAlignment="1">
      <alignment horizontal="center" vertical="top"/>
    </xf>
    <xf numFmtId="10" fontId="2" fillId="0" borderId="7" xfId="2" applyNumberFormat="1" applyFont="1" applyFill="1" applyBorder="1" applyAlignment="1" applyProtection="1">
      <alignment horizontal="right" vertical="top"/>
      <protection locked="0"/>
    </xf>
    <xf numFmtId="10" fontId="2" fillId="0" borderId="7" xfId="0" applyNumberFormat="1" applyFont="1" applyBorder="1" applyAlignment="1">
      <alignment horizontal="right" vertical="top"/>
    </xf>
    <xf numFmtId="0" fontId="1" fillId="0" borderId="6" xfId="0" applyFont="1" applyBorder="1" applyAlignment="1">
      <alignment vertical="top"/>
    </xf>
    <xf numFmtId="10" fontId="2" fillId="0" borderId="9" xfId="2" applyNumberFormat="1" applyFont="1" applyFill="1" applyBorder="1" applyAlignment="1" applyProtection="1">
      <alignment horizontal="right" vertical="top"/>
      <protection locked="0"/>
    </xf>
    <xf numFmtId="10" fontId="2" fillId="0" borderId="9" xfId="0" applyNumberFormat="1" applyFont="1" applyBorder="1" applyAlignment="1">
      <alignment horizontal="right" vertical="top"/>
    </xf>
    <xf numFmtId="0" fontId="1" fillId="0" borderId="24" xfId="0" applyFont="1" applyBorder="1" applyAlignment="1">
      <alignment vertical="top"/>
    </xf>
    <xf numFmtId="167" fontId="3" fillId="6" borderId="7" xfId="0" applyNumberFormat="1" applyFont="1" applyFill="1" applyBorder="1" applyAlignment="1">
      <alignment horizontal="center" vertical="top"/>
    </xf>
    <xf numFmtId="0" fontId="4" fillId="5" borderId="18" xfId="0" applyFont="1" applyFill="1" applyBorder="1" applyAlignment="1">
      <alignment horizontal="center" vertical="top"/>
    </xf>
    <xf numFmtId="0" fontId="4" fillId="6" borderId="6" xfId="0" applyFont="1" applyFill="1" applyBorder="1" applyAlignment="1">
      <alignment horizontal="right" vertical="top"/>
    </xf>
    <xf numFmtId="0" fontId="4" fillId="5" borderId="25" xfId="0" applyFont="1" applyFill="1" applyBorder="1" applyAlignment="1">
      <alignment horizontal="right" vertical="top"/>
    </xf>
    <xf numFmtId="0" fontId="5" fillId="6" borderId="7" xfId="0" applyFont="1" applyFill="1" applyBorder="1" applyAlignment="1">
      <alignment horizontal="left" vertical="top"/>
    </xf>
    <xf numFmtId="43" fontId="6" fillId="6" borderId="7" xfId="1" applyFont="1" applyFill="1" applyBorder="1" applyAlignment="1" applyProtection="1">
      <alignment horizontal="center" vertical="top"/>
    </xf>
    <xf numFmtId="0" fontId="7" fillId="5" borderId="18" xfId="0" applyFont="1" applyFill="1" applyBorder="1" applyAlignment="1">
      <alignment horizontal="center" vertical="top"/>
    </xf>
    <xf numFmtId="0" fontId="5" fillId="6" borderId="8" xfId="0" applyFont="1" applyFill="1" applyBorder="1" applyAlignment="1">
      <alignment horizontal="left" vertical="top"/>
    </xf>
    <xf numFmtId="43" fontId="6" fillId="6" borderId="8" xfId="1" applyFont="1" applyFill="1" applyBorder="1" applyAlignment="1" applyProtection="1">
      <alignment horizontal="center" vertical="top"/>
    </xf>
    <xf numFmtId="0" fontId="4" fillId="6" borderId="8" xfId="0" applyFont="1" applyFill="1" applyBorder="1" applyAlignment="1">
      <alignment horizontal="right" vertical="top"/>
    </xf>
    <xf numFmtId="0" fontId="4" fillId="5" borderId="0" xfId="0" applyFont="1" applyFill="1" applyAlignment="1">
      <alignment horizontal="right" vertical="top"/>
    </xf>
    <xf numFmtId="0" fontId="1" fillId="0" borderId="26" xfId="0" applyFont="1" applyBorder="1"/>
    <xf numFmtId="0" fontId="1" fillId="0" borderId="27" xfId="0" applyFont="1" applyBorder="1"/>
    <xf numFmtId="0" fontId="4" fillId="0" borderId="0" xfId="0" applyFont="1" applyAlignment="1">
      <alignment wrapText="1"/>
    </xf>
    <xf numFmtId="0" fontId="4" fillId="5" borderId="0" xfId="0" applyFont="1" applyFill="1" applyAlignment="1">
      <alignment horizontal="center" vertical="top"/>
    </xf>
    <xf numFmtId="0" fontId="1" fillId="5" borderId="0" xfId="0" applyFont="1" applyFill="1" applyAlignment="1">
      <alignment vertical="center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41" fontId="1" fillId="0" borderId="0" xfId="3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Continuous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top"/>
    </xf>
    <xf numFmtId="0" fontId="2" fillId="9" borderId="20" xfId="0" applyFont="1" applyFill="1" applyBorder="1" applyAlignment="1">
      <alignment horizontal="left" vertical="top" wrapText="1" indent="1"/>
    </xf>
    <xf numFmtId="0" fontId="2" fillId="9" borderId="20" xfId="0" applyFont="1" applyFill="1" applyBorder="1" applyAlignment="1">
      <alignment horizontal="center" vertical="top" wrapText="1"/>
    </xf>
    <xf numFmtId="0" fontId="2" fillId="9" borderId="20" xfId="0" applyFont="1" applyFill="1" applyBorder="1" applyAlignment="1">
      <alignment horizontal="left" vertical="top"/>
    </xf>
    <xf numFmtId="0" fontId="2" fillId="9" borderId="5" xfId="0" applyFont="1" applyFill="1" applyBorder="1" applyAlignment="1">
      <alignment horizontal="right" vertical="top"/>
    </xf>
    <xf numFmtId="0" fontId="2" fillId="9" borderId="6" xfId="0" applyFont="1" applyFill="1" applyBorder="1" applyAlignment="1">
      <alignment horizontal="left" vertical="top"/>
    </xf>
    <xf numFmtId="0" fontId="2" fillId="4" borderId="20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left" vertical="top" indent="1"/>
    </xf>
    <xf numFmtId="0" fontId="2" fillId="5" borderId="20" xfId="0" applyFont="1" applyFill="1" applyBorder="1" applyAlignment="1">
      <alignment horizontal="center" vertical="top"/>
    </xf>
    <xf numFmtId="0" fontId="2" fillId="5" borderId="20" xfId="0" applyFont="1" applyFill="1" applyBorder="1" applyAlignment="1">
      <alignment horizontal="left" vertical="top" indent="1"/>
    </xf>
    <xf numFmtId="0" fontId="1" fillId="4" borderId="20" xfId="0" applyFont="1" applyFill="1" applyBorder="1" applyAlignment="1">
      <alignment horizontal="center" vertical="top"/>
    </xf>
    <xf numFmtId="0" fontId="1" fillId="4" borderId="20" xfId="0" applyFont="1" applyFill="1" applyBorder="1" applyAlignment="1">
      <alignment horizontal="left" vertical="top" indent="1"/>
    </xf>
    <xf numFmtId="0" fontId="1" fillId="0" borderId="20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2" fillId="4" borderId="4" xfId="0" applyFont="1" applyFill="1" applyBorder="1" applyAlignment="1">
      <alignment horizontal="left" vertical="top" wrapText="1"/>
    </xf>
    <xf numFmtId="41" fontId="2" fillId="4" borderId="5" xfId="3" applyFont="1" applyFill="1" applyBorder="1" applyAlignment="1">
      <alignment horizontal="right" vertical="top"/>
    </xf>
    <xf numFmtId="41" fontId="2" fillId="4" borderId="6" xfId="3" applyFont="1" applyFill="1" applyBorder="1" applyAlignment="1">
      <alignment horizontal="left" vertical="top"/>
    </xf>
    <xf numFmtId="0" fontId="2" fillId="11" borderId="20" xfId="0" applyFont="1" applyFill="1" applyBorder="1" applyAlignment="1">
      <alignment horizontal="center" vertical="top"/>
    </xf>
    <xf numFmtId="0" fontId="2" fillId="4" borderId="20" xfId="0" applyFont="1" applyFill="1" applyBorder="1" applyAlignment="1">
      <alignment horizontal="left" vertical="top" indent="1"/>
    </xf>
    <xf numFmtId="0" fontId="2" fillId="4" borderId="4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right" vertical="top"/>
    </xf>
    <xf numFmtId="0" fontId="2" fillId="4" borderId="6" xfId="0" applyFont="1" applyFill="1" applyBorder="1" applyAlignment="1">
      <alignment horizontal="left" vertical="top"/>
    </xf>
    <xf numFmtId="0" fontId="2" fillId="11" borderId="20" xfId="0" applyFont="1" applyFill="1" applyBorder="1" applyAlignment="1">
      <alignment horizontal="left" vertical="top" wrapText="1"/>
    </xf>
    <xf numFmtId="0" fontId="2" fillId="11" borderId="20" xfId="0" applyFont="1" applyFill="1" applyBorder="1" applyAlignment="1">
      <alignment horizontal="left" vertical="top" wrapText="1" indent="1"/>
    </xf>
    <xf numFmtId="0" fontId="2" fillId="5" borderId="20" xfId="0" applyFont="1" applyFill="1" applyBorder="1" applyAlignment="1">
      <alignment horizontal="left" vertical="top" wrapText="1"/>
    </xf>
    <xf numFmtId="0" fontId="2" fillId="12" borderId="20" xfId="0" applyFont="1" applyFill="1" applyBorder="1" applyAlignment="1">
      <alignment horizontal="center" vertical="top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left" vertical="top" wrapText="1" inden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right" vertical="top" wrapText="1"/>
    </xf>
    <xf numFmtId="0" fontId="6" fillId="0" borderId="6" xfId="0" applyFont="1" applyBorder="1" applyAlignment="1">
      <alignment horizontal="left" vertical="top" wrapText="1"/>
    </xf>
    <xf numFmtId="167" fontId="5" fillId="0" borderId="4" xfId="0" applyNumberFormat="1" applyFont="1" applyBorder="1" applyAlignment="1">
      <alignment vertical="top" wrapText="1"/>
    </xf>
    <xf numFmtId="167" fontId="5" fillId="0" borderId="4" xfId="0" applyNumberFormat="1" applyFont="1" applyBorder="1" applyAlignment="1">
      <alignment horizontal="left" vertical="top" wrapText="1" indent="1"/>
    </xf>
    <xf numFmtId="167" fontId="5" fillId="0" borderId="4" xfId="0" applyNumberFormat="1" applyFont="1" applyBorder="1" applyAlignment="1">
      <alignment horizontal="left" vertical="top" wrapText="1"/>
    </xf>
    <xf numFmtId="167" fontId="5" fillId="0" borderId="5" xfId="0" applyNumberFormat="1" applyFont="1" applyBorder="1" applyAlignment="1">
      <alignment horizontal="right" vertical="top" wrapText="1"/>
    </xf>
    <xf numFmtId="167" fontId="5" fillId="0" borderId="6" xfId="0" applyNumberFormat="1" applyFont="1" applyBorder="1" applyAlignment="1">
      <alignment horizontal="left" vertical="top" wrapText="1"/>
    </xf>
    <xf numFmtId="0" fontId="5" fillId="0" borderId="5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0" fontId="5" fillId="0" borderId="7" xfId="0" applyFont="1" applyBorder="1" applyAlignment="1">
      <alignment horizontal="left" vertical="top"/>
    </xf>
    <xf numFmtId="0" fontId="5" fillId="0" borderId="7" xfId="0" applyFont="1" applyBorder="1" applyAlignment="1">
      <alignment horizontal="right" vertical="top"/>
    </xf>
    <xf numFmtId="0" fontId="4" fillId="0" borderId="5" xfId="0" applyFont="1" applyBorder="1" applyAlignment="1">
      <alignment horizontal="left" vertical="top" indent="1"/>
    </xf>
    <xf numFmtId="0" fontId="4" fillId="0" borderId="7" xfId="0" applyFont="1" applyBorder="1" applyAlignment="1">
      <alignment vertical="top"/>
    </xf>
    <xf numFmtId="0" fontId="4" fillId="0" borderId="7" xfId="0" applyFont="1" applyBorder="1" applyAlignment="1">
      <alignment horizontal="center" vertical="top"/>
    </xf>
    <xf numFmtId="0" fontId="4" fillId="0" borderId="13" xfId="0" applyFont="1" applyBorder="1" applyAlignment="1">
      <alignment horizontal="left" vertical="top" indent="1"/>
    </xf>
    <xf numFmtId="0" fontId="4" fillId="0" borderId="8" xfId="0" applyFont="1" applyBorder="1" applyAlignment="1">
      <alignment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13" borderId="15" xfId="0" applyFont="1" applyFill="1" applyBorder="1" applyAlignment="1">
      <alignment horizontal="center" vertical="center" wrapText="1"/>
    </xf>
    <xf numFmtId="0" fontId="4" fillId="13" borderId="28" xfId="0" applyFont="1" applyFill="1" applyBorder="1" applyAlignment="1">
      <alignment horizontal="center" vertical="center" wrapText="1"/>
    </xf>
    <xf numFmtId="41" fontId="1" fillId="0" borderId="0" xfId="0" applyNumberFormat="1" applyFont="1"/>
    <xf numFmtId="0" fontId="4" fillId="0" borderId="1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2" fillId="4" borderId="0" xfId="0" applyFont="1" applyFill="1" applyAlignment="1">
      <alignment horizontal="left" vertical="center" wrapText="1" inden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41" fontId="2" fillId="0" borderId="0" xfId="3" applyFont="1" applyFill="1" applyAlignment="1">
      <alignment vertical="center"/>
    </xf>
    <xf numFmtId="169" fontId="6" fillId="0" borderId="4" xfId="3" applyNumberFormat="1" applyFont="1" applyFill="1" applyBorder="1" applyAlignment="1">
      <alignment horizontal="center" vertical="center" wrapText="1"/>
    </xf>
    <xf numFmtId="4" fontId="2" fillId="9" borderId="4" xfId="0" applyNumberFormat="1" applyFont="1" applyFill="1" applyBorder="1" applyAlignment="1">
      <alignment horizontal="right" vertical="top"/>
    </xf>
    <xf numFmtId="0" fontId="2" fillId="9" borderId="6" xfId="0" applyFont="1" applyFill="1" applyBorder="1" applyAlignment="1">
      <alignment horizontal="center" vertical="top"/>
    </xf>
    <xf numFmtId="168" fontId="1" fillId="9" borderId="4" xfId="3" applyNumberFormat="1" applyFont="1" applyFill="1" applyBorder="1" applyAlignment="1">
      <alignment horizontal="center" vertical="top"/>
    </xf>
    <xf numFmtId="166" fontId="3" fillId="4" borderId="4" xfId="0" applyNumberFormat="1" applyFont="1" applyFill="1" applyBorder="1" applyAlignment="1">
      <alignment horizontal="right" vertical="top" wrapText="1"/>
    </xf>
    <xf numFmtId="1" fontId="4" fillId="4" borderId="5" xfId="0" applyNumberFormat="1" applyFont="1" applyFill="1" applyBorder="1" applyAlignment="1">
      <alignment horizontal="right" vertical="top" wrapText="1"/>
    </xf>
    <xf numFmtId="0" fontId="4" fillId="4" borderId="6" xfId="0" applyFont="1" applyFill="1" applyBorder="1" applyAlignment="1">
      <alignment horizontal="left" vertical="top" wrapText="1"/>
    </xf>
    <xf numFmtId="4" fontId="2" fillId="4" borderId="4" xfId="3" applyNumberFormat="1" applyFont="1" applyFill="1" applyBorder="1" applyAlignment="1">
      <alignment horizontal="right" vertical="top"/>
    </xf>
    <xf numFmtId="168" fontId="1" fillId="0" borderId="5" xfId="3" applyNumberFormat="1" applyFont="1" applyBorder="1" applyAlignment="1">
      <alignment horizontal="center" vertical="top"/>
    </xf>
    <xf numFmtId="166" fontId="1" fillId="4" borderId="4" xfId="0" applyNumberFormat="1" applyFont="1" applyFill="1" applyBorder="1" applyAlignment="1">
      <alignment vertical="top"/>
    </xf>
    <xf numFmtId="0" fontId="4" fillId="4" borderId="5" xfId="0" applyFont="1" applyFill="1" applyBorder="1" applyAlignment="1">
      <alignment horizontal="right" vertical="top" wrapText="1"/>
    </xf>
    <xf numFmtId="166" fontId="4" fillId="4" borderId="4" xfId="0" applyNumberFormat="1" applyFont="1" applyFill="1" applyBorder="1" applyAlignment="1">
      <alignment horizontal="right" vertical="top" wrapText="1"/>
    </xf>
    <xf numFmtId="168" fontId="1" fillId="4" borderId="4" xfId="3" applyNumberFormat="1" applyFont="1" applyFill="1" applyBorder="1" applyAlignment="1">
      <alignment horizontal="center" vertical="top"/>
    </xf>
    <xf numFmtId="43" fontId="2" fillId="4" borderId="4" xfId="1" applyFont="1" applyFill="1" applyBorder="1" applyAlignment="1">
      <alignment horizontal="right" vertical="top"/>
    </xf>
    <xf numFmtId="168" fontId="1" fillId="0" borderId="4" xfId="3" applyNumberFormat="1" applyFont="1" applyFill="1" applyBorder="1" applyAlignment="1">
      <alignment horizontal="center" vertical="top"/>
    </xf>
    <xf numFmtId="166" fontId="6" fillId="0" borderId="4" xfId="0" applyNumberFormat="1" applyFont="1" applyBorder="1" applyAlignment="1">
      <alignment horizontal="center" vertical="top" wrapText="1"/>
    </xf>
    <xf numFmtId="169" fontId="5" fillId="0" borderId="4" xfId="3" applyNumberFormat="1" applyFont="1" applyFill="1" applyBorder="1" applyAlignment="1">
      <alignment horizontal="center" vertical="top" wrapText="1"/>
    </xf>
    <xf numFmtId="167" fontId="5" fillId="0" borderId="4" xfId="0" applyNumberFormat="1" applyFont="1" applyBorder="1" applyAlignment="1">
      <alignment horizontal="center" vertical="top" wrapText="1"/>
    </xf>
    <xf numFmtId="166" fontId="5" fillId="0" borderId="4" xfId="0" applyNumberFormat="1" applyFont="1" applyBorder="1" applyAlignment="1">
      <alignment horizontal="center" vertical="top" wrapText="1"/>
    </xf>
    <xf numFmtId="167" fontId="6" fillId="0" borderId="5" xfId="0" applyNumberFormat="1" applyFont="1" applyBorder="1" applyAlignment="1">
      <alignment horizontal="right" vertical="top" wrapText="1"/>
    </xf>
    <xf numFmtId="167" fontId="6" fillId="0" borderId="6" xfId="0" applyNumberFormat="1" applyFont="1" applyBorder="1" applyAlignment="1">
      <alignment horizontal="left" vertical="top" wrapText="1"/>
    </xf>
    <xf numFmtId="166" fontId="5" fillId="8" borderId="4" xfId="0" applyNumberFormat="1" applyFont="1" applyFill="1" applyBorder="1" applyAlignment="1">
      <alignment horizontal="center" vertical="top"/>
    </xf>
    <xf numFmtId="166" fontId="5" fillId="0" borderId="7" xfId="0" applyNumberFormat="1" applyFont="1" applyBorder="1" applyAlignment="1">
      <alignment horizontal="center" vertical="top"/>
    </xf>
    <xf numFmtId="169" fontId="5" fillId="0" borderId="6" xfId="3" applyNumberFormat="1" applyFont="1" applyFill="1" applyBorder="1" applyAlignment="1">
      <alignment horizontal="center" vertical="top"/>
    </xf>
    <xf numFmtId="41" fontId="4" fillId="0" borderId="7" xfId="3" applyFont="1" applyBorder="1" applyAlignment="1">
      <alignment vertical="top"/>
    </xf>
    <xf numFmtId="0" fontId="4" fillId="0" borderId="7" xfId="0" applyFont="1" applyBorder="1" applyAlignment="1">
      <alignment horizontal="right" vertical="top"/>
    </xf>
    <xf numFmtId="0" fontId="1" fillId="0" borderId="7" xfId="0" applyFont="1" applyBorder="1" applyAlignment="1">
      <alignment vertical="top"/>
    </xf>
    <xf numFmtId="0" fontId="3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vertical="top"/>
    </xf>
    <xf numFmtId="41" fontId="7" fillId="0" borderId="7" xfId="3" applyFont="1" applyBorder="1" applyAlignment="1">
      <alignment vertical="top"/>
    </xf>
    <xf numFmtId="0" fontId="7" fillId="0" borderId="7" xfId="0" applyFont="1" applyBorder="1" applyAlignment="1">
      <alignment horizontal="right" vertical="top"/>
    </xf>
    <xf numFmtId="0" fontId="7" fillId="0" borderId="7" xfId="0" applyFont="1" applyBorder="1" applyAlignment="1">
      <alignment horizontal="center" vertical="top"/>
    </xf>
    <xf numFmtId="168" fontId="1" fillId="0" borderId="7" xfId="3" applyNumberFormat="1" applyFont="1" applyFill="1" applyBorder="1" applyAlignment="1">
      <alignment vertical="top"/>
    </xf>
    <xf numFmtId="0" fontId="8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vertical="top"/>
    </xf>
    <xf numFmtId="41" fontId="7" fillId="0" borderId="8" xfId="3" applyFont="1" applyBorder="1" applyAlignment="1">
      <alignment vertical="top"/>
    </xf>
    <xf numFmtId="0" fontId="7" fillId="0" borderId="8" xfId="0" applyFont="1" applyBorder="1" applyAlignment="1">
      <alignment horizontal="right" vertical="top"/>
    </xf>
    <xf numFmtId="0" fontId="7" fillId="0" borderId="8" xfId="0" applyFont="1" applyBorder="1" applyAlignment="1">
      <alignment horizontal="center" vertical="top"/>
    </xf>
    <xf numFmtId="168" fontId="1" fillId="0" borderId="8" xfId="3" applyNumberFormat="1" applyFont="1" applyFill="1" applyBorder="1" applyAlignment="1">
      <alignment vertical="top"/>
    </xf>
    <xf numFmtId="0" fontId="8" fillId="0" borderId="8" xfId="0" applyFont="1" applyBorder="1" applyAlignment="1">
      <alignment horizontal="center" vertical="top"/>
    </xf>
    <xf numFmtId="39" fontId="7" fillId="0" borderId="9" xfId="3" applyNumberFormat="1" applyFont="1" applyFill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39" fontId="7" fillId="0" borderId="0" xfId="3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39" fontId="1" fillId="0" borderId="0" xfId="3" applyNumberFormat="1" applyFont="1" applyFill="1" applyBorder="1" applyAlignment="1">
      <alignment horizontal="right" vertical="center"/>
    </xf>
    <xf numFmtId="41" fontId="1" fillId="0" borderId="0" xfId="3" applyFont="1" applyFill="1" applyBorder="1" applyAlignment="1">
      <alignment horizontal="right" vertical="center"/>
    </xf>
    <xf numFmtId="41" fontId="1" fillId="0" borderId="0" xfId="3" applyFont="1" applyFill="1" applyBorder="1" applyAlignment="1">
      <alignment vertical="center"/>
    </xf>
    <xf numFmtId="41" fontId="1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41" fontId="13" fillId="0" borderId="0" xfId="3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70" fontId="2" fillId="0" borderId="0" xfId="2" applyNumberFormat="1" applyFont="1"/>
    <xf numFmtId="166" fontId="6" fillId="0" borderId="4" xfId="0" applyNumberFormat="1" applyFont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top"/>
    </xf>
    <xf numFmtId="166" fontId="2" fillId="4" borderId="4" xfId="3" applyNumberFormat="1" applyFont="1" applyFill="1" applyBorder="1" applyAlignment="1">
      <alignment horizontal="right" vertical="top"/>
    </xf>
    <xf numFmtId="168" fontId="1" fillId="4" borderId="4" xfId="3" applyNumberFormat="1" applyFont="1" applyFill="1" applyBorder="1" applyAlignment="1">
      <alignment horizontal="right" vertical="top"/>
    </xf>
    <xf numFmtId="4" fontId="1" fillId="0" borderId="4" xfId="3" applyNumberFormat="1" applyFont="1" applyFill="1" applyBorder="1" applyAlignment="1">
      <alignment horizontal="right" vertical="top"/>
    </xf>
    <xf numFmtId="4" fontId="1" fillId="0" borderId="12" xfId="3" applyNumberFormat="1" applyFont="1" applyFill="1" applyBorder="1" applyAlignment="1">
      <alignment horizontal="right" vertical="top"/>
    </xf>
    <xf numFmtId="43" fontId="1" fillId="0" borderId="4" xfId="1" applyFont="1" applyFill="1" applyBorder="1" applyAlignment="1">
      <alignment horizontal="right" vertical="top"/>
    </xf>
    <xf numFmtId="41" fontId="2" fillId="4" borderId="4" xfId="3" applyFont="1" applyFill="1" applyBorder="1" applyAlignment="1">
      <alignment horizontal="right" vertical="top"/>
    </xf>
    <xf numFmtId="0" fontId="5" fillId="0" borderId="8" xfId="0" applyFont="1" applyBorder="1" applyAlignment="1">
      <alignment horizontal="left" vertical="top"/>
    </xf>
    <xf numFmtId="41" fontId="3" fillId="0" borderId="9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1" fontId="1" fillId="0" borderId="0" xfId="3" applyFont="1" applyFill="1" applyBorder="1" applyAlignment="1"/>
    <xf numFmtId="0" fontId="7" fillId="0" borderId="0" xfId="0" applyFont="1"/>
    <xf numFmtId="0" fontId="8" fillId="0" borderId="0" xfId="0" applyFont="1" applyAlignment="1">
      <alignment vertical="top"/>
    </xf>
    <xf numFmtId="0" fontId="13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2" fillId="9" borderId="4" xfId="0" applyFont="1" applyFill="1" applyBorder="1" applyAlignment="1">
      <alignment horizontal="right" vertical="top"/>
    </xf>
    <xf numFmtId="10" fontId="2" fillId="4" borderId="4" xfId="2" applyNumberFormat="1" applyFont="1" applyFill="1" applyBorder="1" applyAlignment="1">
      <alignment horizontal="right" vertical="top"/>
    </xf>
    <xf numFmtId="168" fontId="2" fillId="4" borderId="5" xfId="3" applyNumberFormat="1" applyFont="1" applyFill="1" applyBorder="1" applyAlignment="1">
      <alignment horizontal="center" vertical="top"/>
    </xf>
    <xf numFmtId="168" fontId="2" fillId="4" borderId="4" xfId="3" applyNumberFormat="1" applyFont="1" applyFill="1" applyBorder="1" applyAlignment="1">
      <alignment horizontal="center" vertical="top"/>
    </xf>
    <xf numFmtId="10" fontId="2" fillId="4" borderId="4" xfId="2" applyNumberFormat="1" applyFont="1" applyFill="1" applyBorder="1" applyAlignment="1">
      <alignment horizontal="right" vertical="top" indent="1"/>
    </xf>
    <xf numFmtId="43" fontId="1" fillId="4" borderId="4" xfId="1" applyFont="1" applyFill="1" applyBorder="1" applyAlignment="1">
      <alignment horizontal="right" vertical="top"/>
    </xf>
    <xf numFmtId="10" fontId="1" fillId="4" borderId="4" xfId="2" applyNumberFormat="1" applyFont="1" applyFill="1" applyBorder="1" applyAlignment="1">
      <alignment horizontal="right" vertical="top"/>
    </xf>
    <xf numFmtId="168" fontId="1" fillId="4" borderId="5" xfId="3" applyNumberFormat="1" applyFont="1" applyFill="1" applyBorder="1" applyAlignment="1">
      <alignment horizontal="center" vertical="top"/>
    </xf>
    <xf numFmtId="10" fontId="1" fillId="4" borderId="4" xfId="2" applyNumberFormat="1" applyFont="1" applyFill="1" applyBorder="1" applyAlignment="1">
      <alignment horizontal="right" vertical="top" indent="1"/>
    </xf>
    <xf numFmtId="43" fontId="1" fillId="5" borderId="4" xfId="1" applyFont="1" applyFill="1" applyBorder="1" applyAlignment="1">
      <alignment horizontal="right" vertical="top"/>
    </xf>
    <xf numFmtId="10" fontId="1" fillId="5" borderId="4" xfId="2" applyNumberFormat="1" applyFont="1" applyFill="1" applyBorder="1" applyAlignment="1">
      <alignment horizontal="right" vertical="top"/>
    </xf>
    <xf numFmtId="168" fontId="1" fillId="5" borderId="5" xfId="3" applyNumberFormat="1" applyFont="1" applyFill="1" applyBorder="1" applyAlignment="1">
      <alignment horizontal="center" vertical="top"/>
    </xf>
    <xf numFmtId="168" fontId="1" fillId="5" borderId="4" xfId="3" applyNumberFormat="1" applyFont="1" applyFill="1" applyBorder="1" applyAlignment="1">
      <alignment horizontal="center" vertical="top"/>
    </xf>
    <xf numFmtId="10" fontId="1" fillId="5" borderId="4" xfId="2" applyNumberFormat="1" applyFont="1" applyFill="1" applyBorder="1" applyAlignment="1">
      <alignment horizontal="right" vertical="top" indent="1"/>
    </xf>
    <xf numFmtId="10" fontId="1" fillId="0" borderId="4" xfId="2" applyNumberFormat="1" applyFont="1" applyFill="1" applyBorder="1" applyAlignment="1">
      <alignment horizontal="right" vertical="top"/>
    </xf>
    <xf numFmtId="168" fontId="1" fillId="0" borderId="5" xfId="3" applyNumberFormat="1" applyFont="1" applyFill="1" applyBorder="1" applyAlignment="1">
      <alignment horizontal="center" vertical="top"/>
    </xf>
    <xf numFmtId="10" fontId="1" fillId="0" borderId="4" xfId="2" applyNumberFormat="1" applyFont="1" applyFill="1" applyBorder="1" applyAlignment="1">
      <alignment horizontal="right" vertical="top" indent="1"/>
    </xf>
    <xf numFmtId="10" fontId="14" fillId="4" borderId="0" xfId="2" applyNumberFormat="1" applyFont="1" applyFill="1" applyAlignment="1" applyProtection="1">
      <alignment horizontal="right" vertical="top"/>
      <protection locked="0"/>
    </xf>
    <xf numFmtId="10" fontId="5" fillId="0" borderId="4" xfId="0" applyNumberFormat="1" applyFont="1" applyBorder="1" applyAlignment="1">
      <alignment horizontal="center" vertical="top" wrapText="1"/>
    </xf>
    <xf numFmtId="10" fontId="5" fillId="0" borderId="4" xfId="0" applyNumberFormat="1" applyFont="1" applyBorder="1" applyAlignment="1">
      <alignment horizontal="right" vertical="top" wrapText="1"/>
    </xf>
    <xf numFmtId="0" fontId="4" fillId="0" borderId="31" xfId="0" applyFont="1" applyBorder="1" applyAlignment="1">
      <alignment vertical="top" wrapText="1"/>
    </xf>
    <xf numFmtId="10" fontId="2" fillId="4" borderId="0" xfId="2" applyNumberFormat="1" applyFont="1" applyFill="1" applyAlignment="1" applyProtection="1">
      <alignment horizontal="right" vertical="top"/>
      <protection locked="0"/>
    </xf>
    <xf numFmtId="10" fontId="2" fillId="0" borderId="4" xfId="0" applyNumberFormat="1" applyFont="1" applyBorder="1" applyAlignment="1">
      <alignment horizontal="right" vertical="top"/>
    </xf>
    <xf numFmtId="2" fontId="5" fillId="0" borderId="4" xfId="0" applyNumberFormat="1" applyFont="1" applyBorder="1" applyAlignment="1">
      <alignment horizontal="right" vertical="top"/>
    </xf>
    <xf numFmtId="2" fontId="5" fillId="0" borderId="4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/>
    </xf>
    <xf numFmtId="0" fontId="4" fillId="0" borderId="30" xfId="0" applyFont="1" applyBorder="1" applyAlignment="1">
      <alignment horizontal="center" vertical="top"/>
    </xf>
    <xf numFmtId="167" fontId="3" fillId="0" borderId="7" xfId="0" applyNumberFormat="1" applyFont="1" applyBorder="1" applyAlignment="1">
      <alignment horizontal="center" vertical="top"/>
    </xf>
    <xf numFmtId="0" fontId="3" fillId="0" borderId="7" xfId="0" applyFont="1" applyBorder="1" applyAlignment="1">
      <alignment horizontal="right" vertical="top" wrapText="1"/>
    </xf>
    <xf numFmtId="43" fontId="6" fillId="0" borderId="7" xfId="1" applyFont="1" applyFill="1" applyBorder="1" applyAlignment="1" applyProtection="1">
      <alignment horizontal="center" vertical="top"/>
    </xf>
    <xf numFmtId="0" fontId="8" fillId="0" borderId="7" xfId="0" applyFont="1" applyBorder="1" applyAlignment="1">
      <alignment horizontal="right" vertical="top" wrapText="1"/>
    </xf>
    <xf numFmtId="10" fontId="8" fillId="0" borderId="7" xfId="0" applyNumberFormat="1" applyFont="1" applyBorder="1" applyAlignment="1">
      <alignment horizontal="right" vertical="top" wrapText="1"/>
    </xf>
    <xf numFmtId="43" fontId="6" fillId="0" borderId="8" xfId="1" applyFont="1" applyFill="1" applyBorder="1" applyAlignment="1" applyProtection="1">
      <alignment horizontal="center" vertical="top"/>
    </xf>
    <xf numFmtId="0" fontId="8" fillId="0" borderId="8" xfId="0" applyFont="1" applyBorder="1" applyAlignment="1">
      <alignment horizontal="right" vertical="top" wrapText="1"/>
    </xf>
    <xf numFmtId="10" fontId="8" fillId="0" borderId="8" xfId="0" applyNumberFormat="1" applyFont="1" applyBorder="1" applyAlignment="1">
      <alignment horizontal="right" vertical="top" wrapText="1"/>
    </xf>
    <xf numFmtId="0" fontId="4" fillId="0" borderId="8" xfId="0" applyFont="1" applyBorder="1" applyAlignment="1">
      <alignment horizontal="right" vertical="top"/>
    </xf>
    <xf numFmtId="0" fontId="3" fillId="0" borderId="9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43" fontId="7" fillId="0" borderId="0" xfId="1" applyFont="1" applyFill="1" applyBorder="1" applyAlignment="1">
      <alignment horizontal="left" vertical="center" indent="1"/>
    </xf>
    <xf numFmtId="41" fontId="7" fillId="0" borderId="0" xfId="3" applyFont="1" applyFill="1" applyBorder="1" applyAlignment="1">
      <alignment vertical="center"/>
    </xf>
    <xf numFmtId="10" fontId="15" fillId="0" borderId="0" xfId="2" applyNumberFormat="1" applyFont="1" applyFill="1" applyAlignment="1" applyProtection="1">
      <alignment horizontal="right" vertical="top"/>
      <protection locked="0"/>
    </xf>
    <xf numFmtId="43" fontId="7" fillId="0" borderId="0" xfId="0" applyNumberFormat="1" applyFont="1"/>
    <xf numFmtId="41" fontId="7" fillId="0" borderId="0" xfId="0" applyNumberFormat="1" applyFont="1"/>
    <xf numFmtId="0" fontId="2" fillId="9" borderId="4" xfId="0" applyFont="1" applyFill="1" applyBorder="1" applyAlignment="1">
      <alignment vertical="top"/>
    </xf>
    <xf numFmtId="0" fontId="2" fillId="11" borderId="4" xfId="0" applyFont="1" applyFill="1" applyBorder="1" applyAlignment="1">
      <alignment vertical="top"/>
    </xf>
    <xf numFmtId="0" fontId="2" fillId="12" borderId="4" xfId="0" applyFont="1" applyFill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4" borderId="4" xfId="0" applyFont="1" applyFill="1" applyBorder="1" applyAlignment="1">
      <alignment vertical="top"/>
    </xf>
    <xf numFmtId="0" fontId="2" fillId="5" borderId="4" xfId="0" applyFont="1" applyFill="1" applyBorder="1" applyAlignment="1">
      <alignment vertical="top"/>
    </xf>
    <xf numFmtId="0" fontId="4" fillId="0" borderId="32" xfId="0" applyFont="1" applyBorder="1" applyAlignment="1">
      <alignment vertical="top" wrapText="1"/>
    </xf>
    <xf numFmtId="0" fontId="4" fillId="0" borderId="33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9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2" borderId="0" xfId="0" applyFont="1" applyFill="1" applyAlignment="1">
      <alignment horizontal="left" vertical="center" wrapText="1" indent="1"/>
    </xf>
    <xf numFmtId="0" fontId="1" fillId="0" borderId="4" xfId="0" quotePrefix="1" applyFont="1" applyBorder="1" applyAlignment="1">
      <alignment vertical="top"/>
    </xf>
    <xf numFmtId="20" fontId="1" fillId="0" borderId="20" xfId="0" quotePrefix="1" applyNumberFormat="1" applyFont="1" applyBorder="1" applyAlignment="1">
      <alignment horizontal="center" vertical="top"/>
    </xf>
    <xf numFmtId="0" fontId="1" fillId="0" borderId="20" xfId="0" quotePrefix="1" applyFont="1" applyBorder="1" applyAlignment="1">
      <alignment horizontal="center" vertical="top"/>
    </xf>
    <xf numFmtId="0" fontId="3" fillId="5" borderId="7" xfId="0" quotePrefix="1" applyFont="1" applyFill="1" applyBorder="1" applyAlignment="1">
      <alignment horizontal="left" vertical="top"/>
    </xf>
    <xf numFmtId="0" fontId="3" fillId="5" borderId="8" xfId="0" quotePrefix="1" applyFont="1" applyFill="1" applyBorder="1" applyAlignment="1">
      <alignment horizontal="left" vertical="top"/>
    </xf>
    <xf numFmtId="0" fontId="3" fillId="4" borderId="7" xfId="0" quotePrefix="1" applyFont="1" applyFill="1" applyBorder="1" applyAlignment="1">
      <alignment horizontal="left" vertical="top"/>
    </xf>
    <xf numFmtId="4" fontId="21" fillId="5" borderId="4" xfId="3" applyNumberFormat="1" applyFont="1" applyFill="1" applyBorder="1" applyAlignment="1">
      <alignment horizontal="right" vertical="top"/>
    </xf>
    <xf numFmtId="10" fontId="21" fillId="5" borderId="4" xfId="2" applyNumberFormat="1" applyFont="1" applyFill="1" applyBorder="1" applyAlignment="1">
      <alignment horizontal="right" vertical="top"/>
    </xf>
    <xf numFmtId="168" fontId="21" fillId="5" borderId="5" xfId="3" applyNumberFormat="1" applyFont="1" applyFill="1" applyBorder="1" applyAlignment="1">
      <alignment horizontal="center" vertical="top"/>
    </xf>
    <xf numFmtId="168" fontId="21" fillId="5" borderId="4" xfId="3" applyNumberFormat="1" applyFont="1" applyFill="1" applyBorder="1" applyAlignment="1">
      <alignment horizontal="center" vertical="top"/>
    </xf>
    <xf numFmtId="10" fontId="21" fillId="5" borderId="4" xfId="2" applyNumberFormat="1" applyFont="1" applyFill="1" applyBorder="1" applyAlignment="1">
      <alignment horizontal="right" vertical="top" indent="1"/>
    </xf>
    <xf numFmtId="4" fontId="21" fillId="4" borderId="4" xfId="3" applyNumberFormat="1" applyFont="1" applyFill="1" applyBorder="1" applyAlignment="1">
      <alignment horizontal="right" vertical="top"/>
    </xf>
    <xf numFmtId="168" fontId="21" fillId="4" borderId="4" xfId="3" applyNumberFormat="1" applyFont="1" applyFill="1" applyBorder="1" applyAlignment="1">
      <alignment horizontal="right" vertical="top"/>
    </xf>
    <xf numFmtId="4" fontId="21" fillId="0" borderId="4" xfId="3" applyNumberFormat="1" applyFont="1" applyFill="1" applyBorder="1" applyAlignment="1">
      <alignment horizontal="right" vertical="top"/>
    </xf>
    <xf numFmtId="4" fontId="21" fillId="0" borderId="12" xfId="3" applyNumberFormat="1" applyFont="1" applyFill="1" applyBorder="1" applyAlignment="1">
      <alignment horizontal="right" vertical="top"/>
    </xf>
    <xf numFmtId="43" fontId="21" fillId="0" borderId="4" xfId="1" applyFont="1" applyFill="1" applyBorder="1" applyAlignment="1">
      <alignment horizontal="right" vertical="top"/>
    </xf>
    <xf numFmtId="4" fontId="21" fillId="15" borderId="4" xfId="3" applyNumberFormat="1" applyFont="1" applyFill="1" applyBorder="1" applyAlignment="1">
      <alignment horizontal="right" vertical="top"/>
    </xf>
    <xf numFmtId="168" fontId="21" fillId="15" borderId="4" xfId="3" applyNumberFormat="1" applyFont="1" applyFill="1" applyBorder="1" applyAlignment="1">
      <alignment horizontal="right" vertical="top"/>
    </xf>
    <xf numFmtId="168" fontId="21" fillId="15" borderId="4" xfId="3" applyNumberFormat="1" applyFont="1" applyFill="1" applyBorder="1" applyAlignment="1">
      <alignment horizontal="center" vertical="top"/>
    </xf>
    <xf numFmtId="168" fontId="1" fillId="15" borderId="4" xfId="3" applyNumberFormat="1" applyFont="1" applyFill="1" applyBorder="1" applyAlignment="1">
      <alignment horizontal="center" vertical="top"/>
    </xf>
    <xf numFmtId="168" fontId="2" fillId="15" borderId="4" xfId="3" applyNumberFormat="1" applyFont="1" applyFill="1" applyBorder="1" applyAlignment="1">
      <alignment horizontal="right" vertical="top"/>
    </xf>
    <xf numFmtId="168" fontId="1" fillId="15" borderId="5" xfId="3" applyNumberFormat="1" applyFont="1" applyFill="1" applyBorder="1" applyAlignment="1">
      <alignment horizontal="center" vertical="top"/>
    </xf>
    <xf numFmtId="168" fontId="1" fillId="15" borderId="13" xfId="3" applyNumberFormat="1" applyFont="1" applyFill="1" applyBorder="1" applyAlignment="1">
      <alignment horizontal="center" vertical="top"/>
    </xf>
    <xf numFmtId="168" fontId="1" fillId="15" borderId="5" xfId="3" applyNumberFormat="1" applyFont="1" applyFill="1" applyBorder="1" applyAlignment="1">
      <alignment horizontal="center" vertical="top" wrapText="1"/>
    </xf>
    <xf numFmtId="166" fontId="4" fillId="15" borderId="4" xfId="0" applyNumberFormat="1" applyFont="1" applyFill="1" applyBorder="1" applyAlignment="1">
      <alignment vertical="top" wrapText="1"/>
    </xf>
    <xf numFmtId="0" fontId="1" fillId="15" borderId="4" xfId="0" applyFont="1" applyFill="1" applyBorder="1" applyAlignment="1">
      <alignment vertical="top"/>
    </xf>
    <xf numFmtId="168" fontId="4" fillId="15" borderId="15" xfId="3" applyNumberFormat="1" applyFont="1" applyFill="1" applyBorder="1" applyAlignment="1">
      <alignment horizontal="right" vertical="top" wrapText="1"/>
    </xf>
    <xf numFmtId="168" fontId="1" fillId="14" borderId="5" xfId="3" applyNumberFormat="1" applyFont="1" applyFill="1" applyBorder="1" applyAlignment="1">
      <alignment horizontal="center" vertical="top" wrapText="1"/>
    </xf>
    <xf numFmtId="0" fontId="2" fillId="14" borderId="12" xfId="0" applyFont="1" applyFill="1" applyBorder="1" applyAlignment="1">
      <alignment horizontal="center" vertical="top"/>
    </xf>
    <xf numFmtId="0" fontId="2" fillId="14" borderId="4" xfId="0" applyFont="1" applyFill="1" applyBorder="1" applyAlignment="1">
      <alignment vertical="top" wrapText="1"/>
    </xf>
    <xf numFmtId="0" fontId="1" fillId="14" borderId="4" xfId="0" applyFont="1" applyFill="1" applyBorder="1" applyAlignment="1">
      <alignment vertical="top"/>
    </xf>
    <xf numFmtId="0" fontId="3" fillId="14" borderId="4" xfId="0" applyFont="1" applyFill="1" applyBorder="1" applyAlignment="1">
      <alignment horizontal="left" vertical="top" wrapText="1"/>
    </xf>
    <xf numFmtId="0" fontId="4" fillId="14" borderId="4" xfId="0" applyFont="1" applyFill="1" applyBorder="1" applyAlignment="1">
      <alignment horizontal="left" vertical="top" wrapText="1"/>
    </xf>
    <xf numFmtId="0" fontId="2" fillId="14" borderId="13" xfId="0" applyFont="1" applyFill="1" applyBorder="1" applyAlignment="1">
      <alignment horizontal="right" vertical="top"/>
    </xf>
    <xf numFmtId="0" fontId="2" fillId="14" borderId="14" xfId="0" applyFont="1" applyFill="1" applyBorder="1" applyAlignment="1">
      <alignment horizontal="left" vertical="top"/>
    </xf>
    <xf numFmtId="4" fontId="2" fillId="14" borderId="12" xfId="0" applyNumberFormat="1" applyFont="1" applyFill="1" applyBorder="1" applyAlignment="1">
      <alignment horizontal="right" vertical="top"/>
    </xf>
    <xf numFmtId="4" fontId="2" fillId="14" borderId="13" xfId="0" applyNumberFormat="1" applyFont="1" applyFill="1" applyBorder="1" applyAlignment="1">
      <alignment horizontal="right" vertical="top"/>
    </xf>
    <xf numFmtId="4" fontId="2" fillId="14" borderId="6" xfId="0" applyNumberFormat="1" applyFont="1" applyFill="1" applyBorder="1" applyAlignment="1">
      <alignment horizontal="right" vertical="top"/>
    </xf>
    <xf numFmtId="166" fontId="3" fillId="14" borderId="4" xfId="0" applyNumberFormat="1" applyFont="1" applyFill="1" applyBorder="1" applyAlignment="1">
      <alignment vertical="top" wrapText="1"/>
    </xf>
    <xf numFmtId="167" fontId="2" fillId="14" borderId="4" xfId="0" applyNumberFormat="1" applyFont="1" applyFill="1" applyBorder="1" applyAlignment="1">
      <alignment vertical="top"/>
    </xf>
    <xf numFmtId="4" fontId="2" fillId="14" borderId="4" xfId="3" applyNumberFormat="1" applyFont="1" applyFill="1" applyBorder="1" applyAlignment="1">
      <alignment horizontal="right" vertical="top"/>
    </xf>
    <xf numFmtId="10" fontId="1" fillId="14" borderId="4" xfId="2" applyNumberFormat="1" applyFont="1" applyFill="1" applyBorder="1" applyAlignment="1">
      <alignment horizontal="right" vertical="top"/>
    </xf>
    <xf numFmtId="168" fontId="1" fillId="14" borderId="5" xfId="3" applyNumberFormat="1" applyFont="1" applyFill="1" applyBorder="1" applyAlignment="1">
      <alignment horizontal="center" vertical="top"/>
    </xf>
    <xf numFmtId="168" fontId="2" fillId="14" borderId="4" xfId="3" applyNumberFormat="1" applyFont="1" applyFill="1" applyBorder="1" applyAlignment="1">
      <alignment horizontal="center" vertical="top"/>
    </xf>
    <xf numFmtId="10" fontId="1" fillId="14" borderId="4" xfId="2" applyNumberFormat="1" applyFont="1" applyFill="1" applyBorder="1" applyAlignment="1">
      <alignment horizontal="right" vertical="top" indent="1"/>
    </xf>
    <xf numFmtId="0" fontId="2" fillId="14" borderId="12" xfId="0" applyFont="1" applyFill="1" applyBorder="1" applyAlignment="1">
      <alignment vertical="top"/>
    </xf>
    <xf numFmtId="0" fontId="2" fillId="4" borderId="5" xfId="3" applyNumberFormat="1" applyFont="1" applyFill="1" applyBorder="1" applyAlignment="1">
      <alignment horizontal="right" vertical="top"/>
    </xf>
    <xf numFmtId="9" fontId="2" fillId="4" borderId="6" xfId="3" applyNumberFormat="1" applyFont="1" applyFill="1" applyBorder="1" applyAlignment="1">
      <alignment horizontal="left" vertical="top"/>
    </xf>
    <xf numFmtId="166" fontId="3" fillId="4" borderId="4" xfId="0" applyNumberFormat="1" applyFont="1" applyFill="1" applyBorder="1" applyAlignment="1">
      <alignment vertical="top" wrapText="1"/>
    </xf>
    <xf numFmtId="168" fontId="1" fillId="4" borderId="5" xfId="3" applyNumberFormat="1" applyFont="1" applyFill="1" applyBorder="1" applyAlignment="1">
      <alignment horizontal="center" vertical="top" wrapText="1"/>
    </xf>
    <xf numFmtId="168" fontId="1" fillId="15" borderId="12" xfId="3" applyNumberFormat="1" applyFont="1" applyFill="1" applyBorder="1" applyAlignment="1">
      <alignment horizontal="center" vertical="top"/>
    </xf>
    <xf numFmtId="2" fontId="4" fillId="15" borderId="4" xfId="0" applyNumberFormat="1" applyFont="1" applyFill="1" applyBorder="1" applyAlignment="1">
      <alignment vertical="top" wrapText="1"/>
    </xf>
    <xf numFmtId="168" fontId="22" fillId="4" borderId="5" xfId="3" applyNumberFormat="1" applyFont="1" applyFill="1" applyBorder="1" applyAlignment="1">
      <alignment horizontal="center" vertical="top" wrapText="1"/>
    </xf>
    <xf numFmtId="166" fontId="4" fillId="5" borderId="4" xfId="0" applyNumberFormat="1" applyFont="1" applyFill="1" applyBorder="1" applyAlignment="1">
      <alignment horizontal="right" vertical="top" wrapText="1"/>
    </xf>
    <xf numFmtId="0" fontId="21" fillId="4" borderId="5" xfId="3" applyNumberFormat="1" applyFont="1" applyFill="1" applyBorder="1" applyAlignment="1">
      <alignment horizontal="right" vertical="top"/>
    </xf>
    <xf numFmtId="41" fontId="2" fillId="9" borderId="5" xfId="0" applyNumberFormat="1" applyFont="1" applyFill="1" applyBorder="1" applyAlignment="1">
      <alignment horizontal="center" vertical="top"/>
    </xf>
    <xf numFmtId="165" fontId="1" fillId="4" borderId="5" xfId="0" applyNumberFormat="1" applyFont="1" applyFill="1" applyBorder="1" applyAlignment="1">
      <alignment horizontal="right" vertical="top"/>
    </xf>
    <xf numFmtId="0" fontId="4" fillId="0" borderId="30" xfId="0" applyFont="1" applyBorder="1" applyAlignment="1">
      <alignment horizontal="left" vertical="top" indent="1"/>
    </xf>
    <xf numFmtId="0" fontId="4" fillId="0" borderId="9" xfId="0" applyFont="1" applyBorder="1" applyAlignment="1">
      <alignment vertical="top"/>
    </xf>
    <xf numFmtId="0" fontId="4" fillId="0" borderId="9" xfId="0" applyFont="1" applyBorder="1" applyAlignment="1">
      <alignment horizontal="center" vertical="top"/>
    </xf>
    <xf numFmtId="0" fontId="7" fillId="0" borderId="9" xfId="0" applyFont="1" applyBorder="1" applyAlignment="1">
      <alignment vertical="top"/>
    </xf>
    <xf numFmtId="41" fontId="7" fillId="0" borderId="9" xfId="3" applyFont="1" applyBorder="1" applyAlignment="1">
      <alignment vertical="top"/>
    </xf>
    <xf numFmtId="0" fontId="7" fillId="0" borderId="9" xfId="0" applyFont="1" applyBorder="1" applyAlignment="1">
      <alignment horizontal="right" vertical="top"/>
    </xf>
    <xf numFmtId="0" fontId="7" fillId="0" borderId="9" xfId="0" applyFont="1" applyBorder="1" applyAlignment="1">
      <alignment horizontal="center" vertical="top"/>
    </xf>
    <xf numFmtId="168" fontId="1" fillId="0" borderId="9" xfId="3" applyNumberFormat="1" applyFont="1" applyFill="1" applyBorder="1" applyAlignment="1">
      <alignment vertical="top"/>
    </xf>
    <xf numFmtId="0" fontId="8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left" vertical="top"/>
    </xf>
    <xf numFmtId="43" fontId="6" fillId="0" borderId="9" xfId="1" applyFont="1" applyFill="1" applyBorder="1" applyAlignment="1" applyProtection="1">
      <alignment horizontal="center" vertical="top"/>
    </xf>
    <xf numFmtId="0" fontId="8" fillId="0" borderId="9" xfId="0" applyFont="1" applyBorder="1" applyAlignment="1">
      <alignment horizontal="right" vertical="top" wrapText="1"/>
    </xf>
    <xf numFmtId="10" fontId="8" fillId="0" borderId="9" xfId="0" applyNumberFormat="1" applyFont="1" applyBorder="1" applyAlignment="1">
      <alignment horizontal="right" vertical="top" wrapText="1"/>
    </xf>
    <xf numFmtId="0" fontId="4" fillId="0" borderId="9" xfId="0" applyFont="1" applyBorder="1" applyAlignment="1">
      <alignment horizontal="right" vertical="top"/>
    </xf>
    <xf numFmtId="0" fontId="4" fillId="0" borderId="24" xfId="0" applyFont="1" applyBorder="1" applyAlignment="1">
      <alignment horizontal="center" vertical="top"/>
    </xf>
    <xf numFmtId="0" fontId="23" fillId="5" borderId="9" xfId="0" quotePrefix="1" applyFont="1" applyFill="1" applyBorder="1" applyAlignment="1">
      <alignment horizontal="left" vertical="top"/>
    </xf>
    <xf numFmtId="0" fontId="23" fillId="5" borderId="8" xfId="0" quotePrefix="1" applyFont="1" applyFill="1" applyBorder="1" applyAlignment="1">
      <alignment horizontal="left" vertical="top"/>
    </xf>
    <xf numFmtId="0" fontId="6" fillId="0" borderId="4" xfId="0" applyFont="1" applyBorder="1" applyAlignment="1">
      <alignment horizontal="center" vertical="center" wrapText="1"/>
    </xf>
    <xf numFmtId="167" fontId="5" fillId="0" borderId="4" xfId="0" applyNumberFormat="1" applyFont="1" applyBorder="1" applyAlignment="1">
      <alignment horizontal="center" vertical="top" wrapText="1"/>
    </xf>
    <xf numFmtId="166" fontId="5" fillId="0" borderId="4" xfId="0" applyNumberFormat="1" applyFont="1" applyBorder="1" applyAlignment="1">
      <alignment horizontal="center" vertical="top"/>
    </xf>
    <xf numFmtId="0" fontId="11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top" indent="1"/>
    </xf>
    <xf numFmtId="0" fontId="5" fillId="0" borderId="7" xfId="0" applyFont="1" applyBorder="1" applyAlignment="1">
      <alignment horizontal="right" vertical="top" indent="1"/>
    </xf>
    <xf numFmtId="0" fontId="5" fillId="0" borderId="6" xfId="0" applyFont="1" applyBorder="1" applyAlignment="1">
      <alignment horizontal="right" vertical="top" indent="1"/>
    </xf>
    <xf numFmtId="0" fontId="5" fillId="0" borderId="4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top"/>
    </xf>
    <xf numFmtId="0" fontId="12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 indent="1"/>
    </xf>
    <xf numFmtId="0" fontId="6" fillId="0" borderId="4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textRotation="90"/>
    </xf>
    <xf numFmtId="0" fontId="2" fillId="0" borderId="18" xfId="0" applyFont="1" applyBorder="1" applyAlignment="1">
      <alignment horizontal="center" vertical="top" textRotation="90"/>
    </xf>
    <xf numFmtId="0" fontId="6" fillId="0" borderId="4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6" fillId="0" borderId="30" xfId="0" applyFont="1" applyBorder="1" applyAlignment="1">
      <alignment horizontal="center" vertical="top"/>
    </xf>
    <xf numFmtId="0" fontId="6" fillId="0" borderId="24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 wrapText="1"/>
    </xf>
    <xf numFmtId="0" fontId="4" fillId="7" borderId="4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166" fontId="5" fillId="0" borderId="5" xfId="0" applyNumberFormat="1" applyFont="1" applyBorder="1" applyAlignment="1">
      <alignment horizontal="right" vertical="top" indent="1"/>
    </xf>
    <xf numFmtId="166" fontId="5" fillId="0" borderId="7" xfId="0" applyNumberFormat="1" applyFont="1" applyBorder="1" applyAlignment="1">
      <alignment horizontal="right" vertical="top" indent="1"/>
    </xf>
    <xf numFmtId="166" fontId="5" fillId="0" borderId="6" xfId="0" applyNumberFormat="1" applyFont="1" applyBorder="1" applyAlignment="1">
      <alignment horizontal="right" vertical="top" indent="1"/>
    </xf>
    <xf numFmtId="0" fontId="5" fillId="6" borderId="7" xfId="0" applyFont="1" applyFill="1" applyBorder="1" applyAlignment="1">
      <alignment horizontal="left" vertical="top"/>
    </xf>
    <xf numFmtId="0" fontId="4" fillId="0" borderId="1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top" textRotation="90" wrapText="1"/>
    </xf>
    <xf numFmtId="0" fontId="3" fillId="0" borderId="18" xfId="0" applyFont="1" applyBorder="1" applyAlignment="1">
      <alignment horizontal="center" vertical="top" textRotation="90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</cellXfs>
  <cellStyles count="6">
    <cellStyle name="Comma" xfId="1" builtinId="3"/>
    <cellStyle name="Comma [0]" xfId="3" builtinId="6"/>
    <cellStyle name="Comma [0] 2" xfId="4" xr:uid="{00000000-0005-0000-0000-000031000000}"/>
    <cellStyle name="Normal" xfId="0" builtinId="0"/>
    <cellStyle name="Normal 4" xfId="5" xr:uid="{00000000-0005-0000-0000-00003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G114"/>
  <sheetViews>
    <sheetView tabSelected="1" topLeftCell="K40" zoomScale="85" zoomScaleNormal="85" zoomScaleSheetLayoutView="70" workbookViewId="0">
      <selection activeCell="AC52" sqref="AC52:AG52"/>
    </sheetView>
  </sheetViews>
  <sheetFormatPr defaultColWidth="8.85546875" defaultRowHeight="15"/>
  <cols>
    <col min="1" max="1" width="9" style="3" customWidth="1"/>
    <col min="2" max="3" width="24.28515625" style="3"/>
    <col min="4" max="4" width="18.7109375" style="3" customWidth="1"/>
    <col min="5" max="5" width="26.28515625" style="192" customWidth="1"/>
    <col min="6" max="6" width="24.28515625" style="3"/>
    <col min="7" max="7" width="5.140625" style="193" customWidth="1"/>
    <col min="8" max="8" width="9.42578125" style="194" customWidth="1"/>
    <col min="9" max="9" width="23.7109375" style="195" customWidth="1"/>
    <col min="10" max="10" width="5.7109375" style="193" customWidth="1"/>
    <col min="11" max="11" width="9.5703125" style="194" customWidth="1"/>
    <col min="12" max="12" width="19.5703125" style="195" customWidth="1"/>
    <col min="13" max="13" width="7.28515625" style="196" customWidth="1"/>
    <col min="14" max="14" width="11" style="192" customWidth="1"/>
    <col min="15" max="15" width="19.140625" style="197" customWidth="1"/>
    <col min="16" max="16" width="9.28515625" style="2" customWidth="1"/>
    <col min="17" max="17" width="18.5703125" style="197" customWidth="1"/>
    <col min="18" max="18" width="8.28515625" style="3" customWidth="1"/>
    <col min="19" max="19" width="20.140625" style="2" customWidth="1"/>
    <col min="20" max="20" width="7.5703125" style="3" customWidth="1"/>
    <col min="21" max="21" width="18.140625" style="3" customWidth="1"/>
    <col min="22" max="22" width="9.28515625" style="3" customWidth="1"/>
    <col min="23" max="23" width="19.28515625" style="3" customWidth="1"/>
    <col min="24" max="24" width="12.28515625" style="3" customWidth="1"/>
    <col min="25" max="25" width="22" style="3" customWidth="1"/>
    <col min="26" max="26" width="11" style="3" customWidth="1"/>
    <col min="27" max="27" width="11.28515625" style="3" customWidth="1"/>
    <col min="28" max="28" width="9.85546875" style="2" customWidth="1"/>
    <col min="29" max="29" width="22.42578125" style="3" customWidth="1"/>
    <col min="30" max="30" width="10.7109375" style="196" customWidth="1"/>
    <col min="31" max="31" width="16.5703125" style="3" customWidth="1"/>
    <col min="32" max="32" width="14.28515625" style="132" customWidth="1"/>
    <col min="33" max="16384" width="8.85546875" style="3"/>
  </cols>
  <sheetData>
    <row r="1" spans="1:33" ht="16.5">
      <c r="A1" s="482" t="s">
        <v>0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482"/>
      <c r="T1" s="482"/>
      <c r="U1" s="482"/>
      <c r="V1" s="482"/>
      <c r="W1" s="482"/>
      <c r="X1" s="482"/>
      <c r="Y1" s="482"/>
      <c r="Z1" s="482"/>
      <c r="AA1" s="482"/>
      <c r="AB1" s="482"/>
      <c r="AC1" s="482"/>
      <c r="AD1" s="482"/>
      <c r="AE1" s="482"/>
      <c r="AF1" s="482"/>
      <c r="AG1" s="482"/>
    </row>
    <row r="2" spans="1:33" ht="5.65" customHeight="1"/>
    <row r="3" spans="1:33" s="189" customFormat="1" ht="15.7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482"/>
      <c r="T3" s="482"/>
      <c r="U3" s="482"/>
      <c r="V3" s="482"/>
      <c r="W3" s="482"/>
      <c r="X3" s="482"/>
      <c r="Y3" s="482"/>
      <c r="Z3" s="482"/>
      <c r="AA3" s="482"/>
      <c r="AB3" s="482"/>
      <c r="AC3" s="482"/>
      <c r="AD3" s="482"/>
      <c r="AE3" s="482"/>
      <c r="AF3" s="482"/>
      <c r="AG3" s="482"/>
    </row>
    <row r="4" spans="1:33" s="189" customFormat="1" ht="15.75">
      <c r="A4" s="482" t="s">
        <v>2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  <c r="S4" s="482"/>
      <c r="T4" s="482"/>
      <c r="U4" s="482"/>
      <c r="V4" s="482"/>
      <c r="W4" s="482"/>
      <c r="X4" s="482"/>
      <c r="Y4" s="482"/>
      <c r="Z4" s="482"/>
      <c r="AA4" s="482"/>
      <c r="AB4" s="482"/>
      <c r="AC4" s="482"/>
      <c r="AD4" s="482"/>
      <c r="AE4" s="482"/>
      <c r="AF4" s="482"/>
      <c r="AG4" s="482"/>
    </row>
    <row r="5" spans="1:33" s="189" customFormat="1" ht="15.75">
      <c r="A5" s="482"/>
      <c r="B5" s="482"/>
      <c r="C5" s="482"/>
      <c r="D5" s="482"/>
      <c r="E5" s="482"/>
      <c r="F5" s="482"/>
      <c r="G5" s="482"/>
      <c r="H5" s="482"/>
      <c r="I5" s="482"/>
      <c r="J5" s="482"/>
      <c r="K5" s="482"/>
      <c r="L5" s="482"/>
      <c r="M5" s="482"/>
      <c r="N5" s="482"/>
      <c r="O5" s="482"/>
      <c r="P5" s="482"/>
      <c r="Q5" s="482"/>
      <c r="R5" s="482"/>
      <c r="S5" s="482"/>
      <c r="T5" s="482"/>
      <c r="U5" s="482"/>
      <c r="V5" s="482"/>
      <c r="W5" s="482"/>
      <c r="X5" s="482"/>
      <c r="Y5" s="482"/>
      <c r="Z5" s="482"/>
      <c r="AA5" s="482"/>
      <c r="AB5" s="482"/>
      <c r="AC5" s="482"/>
      <c r="AD5" s="482"/>
      <c r="AE5" s="482"/>
      <c r="AF5" s="482"/>
      <c r="AG5" s="482"/>
    </row>
    <row r="6" spans="1:33" ht="23.1" customHeight="1">
      <c r="A6" s="198"/>
      <c r="B6" s="198"/>
      <c r="C6" s="198"/>
      <c r="D6" s="198"/>
      <c r="E6" s="199"/>
      <c r="F6" s="198"/>
      <c r="G6" s="200"/>
      <c r="H6" s="201"/>
      <c r="I6" s="271"/>
      <c r="J6" s="200"/>
      <c r="K6" s="201"/>
      <c r="L6" s="271"/>
      <c r="M6" s="272"/>
      <c r="N6" s="199"/>
      <c r="O6" s="273"/>
      <c r="Q6" s="273"/>
      <c r="R6" s="198"/>
      <c r="S6" s="327"/>
      <c r="T6" s="198"/>
      <c r="U6" s="198"/>
      <c r="V6" s="198"/>
      <c r="W6" s="198"/>
      <c r="X6" s="328"/>
      <c r="Y6" s="198"/>
      <c r="Z6" s="198"/>
      <c r="AA6" s="198"/>
      <c r="AB6" s="271"/>
      <c r="AC6" s="345"/>
      <c r="AD6" s="272"/>
      <c r="AE6" s="198"/>
      <c r="AF6" s="4"/>
      <c r="AG6" s="198"/>
    </row>
    <row r="7" spans="1:33" s="190" customFormat="1" ht="78" customHeight="1">
      <c r="A7" s="202" t="s">
        <v>3</v>
      </c>
      <c r="B7" s="483" t="s">
        <v>4</v>
      </c>
      <c r="C7" s="484"/>
      <c r="D7" s="202" t="s">
        <v>5</v>
      </c>
      <c r="E7" s="202" t="s">
        <v>6</v>
      </c>
      <c r="F7" s="202" t="s">
        <v>7</v>
      </c>
      <c r="G7" s="485" t="s">
        <v>8</v>
      </c>
      <c r="H7" s="485"/>
      <c r="I7" s="485"/>
      <c r="J7" s="486" t="s">
        <v>9</v>
      </c>
      <c r="K7" s="486"/>
      <c r="L7" s="486"/>
      <c r="M7" s="486" t="s">
        <v>10</v>
      </c>
      <c r="N7" s="486"/>
      <c r="O7" s="486"/>
      <c r="P7" s="486" t="s">
        <v>11</v>
      </c>
      <c r="Q7" s="486"/>
      <c r="R7" s="486"/>
      <c r="S7" s="486"/>
      <c r="T7" s="486"/>
      <c r="U7" s="486"/>
      <c r="V7" s="486"/>
      <c r="W7" s="486"/>
      <c r="X7" s="486"/>
      <c r="Y7" s="486"/>
      <c r="Z7" s="486" t="s">
        <v>12</v>
      </c>
      <c r="AA7" s="486"/>
      <c r="AB7" s="486" t="s">
        <v>13</v>
      </c>
      <c r="AC7" s="486"/>
      <c r="AD7" s="487" t="s">
        <v>14</v>
      </c>
      <c r="AE7" s="487"/>
      <c r="AF7" s="202" t="s">
        <v>15</v>
      </c>
      <c r="AG7" s="202" t="s">
        <v>16</v>
      </c>
    </row>
    <row r="8" spans="1:33" s="191" customFormat="1" ht="20.65" customHeight="1">
      <c r="A8" s="497">
        <v>1</v>
      </c>
      <c r="B8" s="503">
        <v>2</v>
      </c>
      <c r="C8" s="503"/>
      <c r="D8" s="497">
        <v>3</v>
      </c>
      <c r="E8" s="497">
        <v>4</v>
      </c>
      <c r="F8" s="497">
        <v>5</v>
      </c>
      <c r="G8" s="497">
        <v>6</v>
      </c>
      <c r="H8" s="497"/>
      <c r="I8" s="497"/>
      <c r="J8" s="497">
        <v>7</v>
      </c>
      <c r="K8" s="497"/>
      <c r="L8" s="497"/>
      <c r="M8" s="497">
        <v>8</v>
      </c>
      <c r="N8" s="497"/>
      <c r="O8" s="497"/>
      <c r="P8" s="504" t="s">
        <v>17</v>
      </c>
      <c r="Q8" s="505"/>
      <c r="R8" s="504" t="s">
        <v>18</v>
      </c>
      <c r="S8" s="505"/>
      <c r="T8" s="504" t="s">
        <v>19</v>
      </c>
      <c r="U8" s="505"/>
      <c r="V8" s="504" t="s">
        <v>20</v>
      </c>
      <c r="W8" s="505"/>
      <c r="X8" s="504" t="s">
        <v>21</v>
      </c>
      <c r="Y8" s="505"/>
      <c r="Z8" s="497" t="s">
        <v>22</v>
      </c>
      <c r="AA8" s="497"/>
      <c r="AB8" s="497" t="s">
        <v>23</v>
      </c>
      <c r="AC8" s="497"/>
      <c r="AD8" s="508" t="s">
        <v>24</v>
      </c>
      <c r="AE8" s="508"/>
      <c r="AF8" s="498">
        <v>13</v>
      </c>
      <c r="AG8" s="498">
        <v>14</v>
      </c>
    </row>
    <row r="9" spans="1:33" s="191" customFormat="1" ht="6" customHeight="1">
      <c r="A9" s="497"/>
      <c r="B9" s="503"/>
      <c r="C9" s="503"/>
      <c r="D9" s="497"/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506"/>
      <c r="Q9" s="507"/>
      <c r="R9" s="506"/>
      <c r="S9" s="507"/>
      <c r="T9" s="506"/>
      <c r="U9" s="507"/>
      <c r="V9" s="506"/>
      <c r="W9" s="507"/>
      <c r="X9" s="506"/>
      <c r="Y9" s="507"/>
      <c r="Z9" s="497"/>
      <c r="AA9" s="497"/>
      <c r="AB9" s="497"/>
      <c r="AC9" s="497"/>
      <c r="AD9" s="508"/>
      <c r="AE9" s="508"/>
      <c r="AF9" s="499"/>
      <c r="AG9" s="499"/>
    </row>
    <row r="10" spans="1:33" s="191" customFormat="1" ht="39" customHeight="1">
      <c r="A10" s="497"/>
      <c r="B10" s="203" t="s">
        <v>25</v>
      </c>
      <c r="C10" s="203" t="s">
        <v>26</v>
      </c>
      <c r="D10" s="497"/>
      <c r="E10" s="497"/>
      <c r="F10" s="497"/>
      <c r="G10" s="479" t="s">
        <v>27</v>
      </c>
      <c r="H10" s="479"/>
      <c r="I10" s="204" t="s">
        <v>28</v>
      </c>
      <c r="J10" s="479" t="s">
        <v>27</v>
      </c>
      <c r="K10" s="479"/>
      <c r="L10" s="204" t="s">
        <v>28</v>
      </c>
      <c r="M10" s="479" t="s">
        <v>27</v>
      </c>
      <c r="N10" s="479"/>
      <c r="O10" s="274" t="s">
        <v>28</v>
      </c>
      <c r="P10" s="204" t="s">
        <v>27</v>
      </c>
      <c r="Q10" s="329" t="s">
        <v>28</v>
      </c>
      <c r="R10" s="204" t="s">
        <v>27</v>
      </c>
      <c r="S10" s="204" t="s">
        <v>28</v>
      </c>
      <c r="T10" s="204" t="s">
        <v>27</v>
      </c>
      <c r="U10" s="204" t="s">
        <v>28</v>
      </c>
      <c r="V10" s="204" t="s">
        <v>27</v>
      </c>
      <c r="W10" s="204" t="s">
        <v>28</v>
      </c>
      <c r="X10" s="204" t="s">
        <v>27</v>
      </c>
      <c r="Y10" s="329" t="s">
        <v>28</v>
      </c>
      <c r="Z10" s="204" t="s">
        <v>27</v>
      </c>
      <c r="AA10" s="204" t="s">
        <v>28</v>
      </c>
      <c r="AB10" s="204" t="s">
        <v>27</v>
      </c>
      <c r="AC10" s="204" t="s">
        <v>28</v>
      </c>
      <c r="AD10" s="346" t="s">
        <v>27</v>
      </c>
      <c r="AE10" s="346" t="s">
        <v>28</v>
      </c>
      <c r="AF10" s="500"/>
      <c r="AG10" s="500"/>
    </row>
    <row r="11" spans="1:33" s="1" customFormat="1" ht="53.45" customHeight="1">
      <c r="A11" s="205" t="s">
        <v>17</v>
      </c>
      <c r="B11" s="17" t="s">
        <v>29</v>
      </c>
      <c r="C11" s="17" t="s">
        <v>29</v>
      </c>
      <c r="D11" s="206"/>
      <c r="E11" s="207" t="s">
        <v>30</v>
      </c>
      <c r="F11" s="208"/>
      <c r="G11" s="209"/>
      <c r="H11" s="210"/>
      <c r="I11" s="275">
        <f>+I12+I14+I21+I23+I27</f>
        <v>1628543437</v>
      </c>
      <c r="J11" s="209"/>
      <c r="K11" s="210"/>
      <c r="L11" s="275"/>
      <c r="M11" s="460">
        <f>M12+M14+M21+M23</f>
        <v>31</v>
      </c>
      <c r="N11" s="276"/>
      <c r="O11" s="275">
        <f>+O12+O14+O21+O23+O27</f>
        <v>2064719970</v>
      </c>
      <c r="P11" s="277"/>
      <c r="Q11" s="275">
        <f>+Q12+Q14+Q21+Q23+Q27</f>
        <v>268813055</v>
      </c>
      <c r="R11" s="275">
        <f t="shared" ref="R11:V11" si="0">+R12+R14+R21+R23</f>
        <v>11.790746136453667</v>
      </c>
      <c r="S11" s="275">
        <f>+S12+S14+S21+S23+S27</f>
        <v>634392579</v>
      </c>
      <c r="T11" s="275">
        <f t="shared" si="0"/>
        <v>5.249839062701172</v>
      </c>
      <c r="U11" s="275">
        <f>+U12+U14+U21+U23+U27</f>
        <v>406194953</v>
      </c>
      <c r="V11" s="275">
        <f t="shared" si="0"/>
        <v>6.7255195613549965</v>
      </c>
      <c r="W11" s="275">
        <f>+W12+W14+W21+W23+W27</f>
        <v>519210498</v>
      </c>
      <c r="X11" s="275"/>
      <c r="Y11" s="275">
        <f>+Y12+Y14+Y21+Y23+Y27</f>
        <v>1828611085</v>
      </c>
      <c r="Z11" s="330"/>
      <c r="AA11" s="330"/>
      <c r="AB11" s="330"/>
      <c r="AC11" s="275">
        <f>+AC12+AC23</f>
        <v>1669159220</v>
      </c>
      <c r="AD11" s="347"/>
      <c r="AE11" s="330"/>
      <c r="AF11" s="501" t="s">
        <v>31</v>
      </c>
      <c r="AG11" s="392"/>
    </row>
    <row r="12" spans="1:33" s="1" customFormat="1" ht="27" customHeight="1">
      <c r="A12" s="211" t="s">
        <v>32</v>
      </c>
      <c r="B12" s="23"/>
      <c r="C12" s="23"/>
      <c r="D12" s="212"/>
      <c r="E12" s="24" t="s">
        <v>33</v>
      </c>
      <c r="F12" s="23"/>
      <c r="G12" s="25"/>
      <c r="H12" s="26"/>
      <c r="I12" s="278">
        <f>I13</f>
        <v>0</v>
      </c>
      <c r="J12" s="25"/>
      <c r="K12" s="26"/>
      <c r="L12" s="278"/>
      <c r="M12" s="279">
        <f>M13</f>
        <v>14</v>
      </c>
      <c r="N12" s="280"/>
      <c r="O12" s="278">
        <f>O13</f>
        <v>1577049170</v>
      </c>
      <c r="P12" s="281">
        <f>P13</f>
        <v>3</v>
      </c>
      <c r="Q12" s="281">
        <f>+Q13+Q21</f>
        <v>215224842</v>
      </c>
      <c r="R12" s="331">
        <f t="shared" ref="R12:W12" si="1">R13</f>
        <v>5</v>
      </c>
      <c r="S12" s="281">
        <f t="shared" si="1"/>
        <v>532804237</v>
      </c>
      <c r="T12" s="281">
        <f t="shared" si="1"/>
        <v>3</v>
      </c>
      <c r="U12" s="281">
        <f t="shared" si="1"/>
        <v>332900349</v>
      </c>
      <c r="V12" s="281">
        <f t="shared" si="1"/>
        <v>3</v>
      </c>
      <c r="W12" s="281">
        <f t="shared" si="1"/>
        <v>333808827</v>
      </c>
      <c r="X12" s="281"/>
      <c r="Y12" s="281">
        <f>SUM(Q12,S12,U12,W12)</f>
        <v>1414738255</v>
      </c>
      <c r="Z12" s="348"/>
      <c r="AA12" s="348">
        <f>IFERROR(Y12/O12,0)</f>
        <v>0.89707935675841988</v>
      </c>
      <c r="AB12" s="349">
        <f>SUM(J12,X12)</f>
        <v>0</v>
      </c>
      <c r="AC12" s="350">
        <f>SUM(L12,Y12)</f>
        <v>1414738255</v>
      </c>
      <c r="AD12" s="351">
        <f>AD13</f>
        <v>1</v>
      </c>
      <c r="AE12" s="348">
        <f>IFERROR(AC12/I12,0)</f>
        <v>0</v>
      </c>
      <c r="AF12" s="502"/>
      <c r="AG12" s="393"/>
    </row>
    <row r="13" spans="1:33" s="1" customFormat="1" ht="40.9" customHeight="1">
      <c r="A13" s="213">
        <v>1</v>
      </c>
      <c r="B13" s="213"/>
      <c r="C13" s="213"/>
      <c r="D13" s="214"/>
      <c r="E13" s="29" t="s">
        <v>34</v>
      </c>
      <c r="F13" s="29" t="s">
        <v>35</v>
      </c>
      <c r="G13" s="30">
        <v>14</v>
      </c>
      <c r="H13" s="31"/>
      <c r="I13" s="70"/>
      <c r="J13" s="30"/>
      <c r="K13" s="31"/>
      <c r="L13" s="28"/>
      <c r="M13" s="71">
        <v>14</v>
      </c>
      <c r="N13" s="72"/>
      <c r="O13" s="73">
        <v>1577049170</v>
      </c>
      <c r="P13" s="282">
        <v>3</v>
      </c>
      <c r="Q13" s="109">
        <v>215224842</v>
      </c>
      <c r="R13" s="109">
        <v>5</v>
      </c>
      <c r="S13" s="110">
        <f>165031318+173926534+193846385</f>
        <v>532804237</v>
      </c>
      <c r="T13" s="421">
        <v>3</v>
      </c>
      <c r="U13" s="421">
        <v>332900349</v>
      </c>
      <c r="V13" s="421">
        <v>3</v>
      </c>
      <c r="W13" s="421">
        <v>333808827</v>
      </c>
      <c r="X13" s="411">
        <f t="shared" ref="X13:Y30" si="2">SUM(P13,R13,T13,V13)</f>
        <v>14</v>
      </c>
      <c r="Y13" s="411">
        <f>SUM(Q13,S13,U13,W13)</f>
        <v>1414738255</v>
      </c>
      <c r="Z13" s="412">
        <f t="shared" ref="Z13:Z30" si="3">IFERROR(X13/M13,0)</f>
        <v>1</v>
      </c>
      <c r="AA13" s="412">
        <f t="shared" ref="AA13:AA30" si="4">IFERROR(Y13/O13,0)</f>
        <v>0.89707935675841988</v>
      </c>
      <c r="AB13" s="413">
        <f t="shared" ref="AB13:AB30" si="5">SUM(J13,X13)</f>
        <v>14</v>
      </c>
      <c r="AC13" s="414">
        <f t="shared" ref="AC13:AC30" si="6">SUM(L13,Y13)</f>
        <v>1414738255</v>
      </c>
      <c r="AD13" s="415">
        <f t="shared" ref="AD13:AD30" si="7">IFERROR(AB13/G13,0)</f>
        <v>1</v>
      </c>
      <c r="AE13" s="412">
        <f t="shared" ref="AE13:AE30" si="8">IFERROR(AC13/I13,0)</f>
        <v>0</v>
      </c>
      <c r="AF13" s="502"/>
      <c r="AG13" s="394"/>
    </row>
    <row r="14" spans="1:33" s="1" customFormat="1" ht="42.6" customHeight="1">
      <c r="A14" s="215" t="s">
        <v>36</v>
      </c>
      <c r="B14" s="211"/>
      <c r="C14" s="211"/>
      <c r="D14" s="216"/>
      <c r="E14" s="24" t="s">
        <v>37</v>
      </c>
      <c r="F14" s="32"/>
      <c r="G14" s="25"/>
      <c r="H14" s="26"/>
      <c r="I14" s="283"/>
      <c r="J14" s="25"/>
      <c r="K14" s="26"/>
      <c r="L14" s="23"/>
      <c r="M14" s="284">
        <f>SUM(M15:M20)</f>
        <v>13</v>
      </c>
      <c r="N14" s="280"/>
      <c r="O14" s="285">
        <f t="shared" ref="O14:W14" si="9">SUM(O15:O20)</f>
        <v>107192620</v>
      </c>
      <c r="P14" s="286">
        <f t="shared" si="9"/>
        <v>2.0833333333333335</v>
      </c>
      <c r="Q14" s="332">
        <f t="shared" si="9"/>
        <v>0</v>
      </c>
      <c r="R14" s="286">
        <f t="shared" si="9"/>
        <v>5.2540477394205229</v>
      </c>
      <c r="S14" s="332">
        <f t="shared" si="9"/>
        <v>30578000</v>
      </c>
      <c r="T14" s="416">
        <f t="shared" si="9"/>
        <v>1.7498390627011715</v>
      </c>
      <c r="U14" s="417">
        <f t="shared" si="9"/>
        <v>10216300</v>
      </c>
      <c r="V14" s="416">
        <f t="shared" si="9"/>
        <v>2.3463406108861173</v>
      </c>
      <c r="W14" s="416">
        <f t="shared" si="9"/>
        <v>32632000</v>
      </c>
      <c r="X14" s="416"/>
      <c r="Y14" s="352">
        <f t="shared" si="2"/>
        <v>73426300</v>
      </c>
      <c r="Z14" s="353"/>
      <c r="AA14" s="353">
        <f t="shared" si="4"/>
        <v>0.68499398559341118</v>
      </c>
      <c r="AB14" s="354">
        <f t="shared" si="5"/>
        <v>0</v>
      </c>
      <c r="AC14" s="286">
        <f t="shared" si="6"/>
        <v>73426300</v>
      </c>
      <c r="AD14" s="355">
        <f t="shared" si="7"/>
        <v>0</v>
      </c>
      <c r="AE14" s="353">
        <f t="shared" si="8"/>
        <v>0</v>
      </c>
      <c r="AF14" s="502"/>
      <c r="AG14" s="395"/>
    </row>
    <row r="15" spans="1:33" s="1" customFormat="1" ht="52.5" customHeight="1">
      <c r="A15" s="217"/>
      <c r="B15" s="218"/>
      <c r="C15" s="218"/>
      <c r="D15" s="405" t="s">
        <v>38</v>
      </c>
      <c r="E15" s="29" t="s">
        <v>39</v>
      </c>
      <c r="F15" s="29" t="s">
        <v>40</v>
      </c>
      <c r="G15" s="30">
        <v>3</v>
      </c>
      <c r="H15" s="31" t="s">
        <v>41</v>
      </c>
      <c r="I15" s="75">
        <v>30756250</v>
      </c>
      <c r="J15" s="30"/>
      <c r="K15" s="31"/>
      <c r="L15" s="28"/>
      <c r="M15" s="71">
        <v>4</v>
      </c>
      <c r="N15" s="72"/>
      <c r="O15" s="73">
        <v>2300100</v>
      </c>
      <c r="P15" s="426">
        <v>1</v>
      </c>
      <c r="Q15" s="109">
        <v>0</v>
      </c>
      <c r="R15" s="109">
        <v>2</v>
      </c>
      <c r="S15" s="114">
        <v>1996000</v>
      </c>
      <c r="T15" s="421">
        <f t="shared" ref="T15:T20" si="10">+U15/O15*100</f>
        <v>0</v>
      </c>
      <c r="U15" s="422">
        <v>0</v>
      </c>
      <c r="V15" s="421">
        <f t="shared" ref="V15:V17" si="11">+W15/O15*100</f>
        <v>0</v>
      </c>
      <c r="W15" s="421">
        <v>0</v>
      </c>
      <c r="X15" s="411">
        <f t="shared" si="2"/>
        <v>3</v>
      </c>
      <c r="Y15" s="356">
        <f t="shared" si="2"/>
        <v>1996000</v>
      </c>
      <c r="Z15" s="357">
        <f t="shared" si="3"/>
        <v>0.75</v>
      </c>
      <c r="AA15" s="357">
        <f t="shared" ref="AA15:AA20" si="12">IFERROR(Y15/O15,0)</f>
        <v>0.86778835702795531</v>
      </c>
      <c r="AB15" s="358">
        <f t="shared" ref="AB15:AB20" si="13">SUM(J15,X15)</f>
        <v>3</v>
      </c>
      <c r="AC15" s="359">
        <f t="shared" ref="AC15:AC20" si="14">SUM(L15,Y15)</f>
        <v>1996000</v>
      </c>
      <c r="AD15" s="360">
        <f t="shared" ref="AD15:AD20" si="15">IFERROR(AB15/G15,0)</f>
        <v>1</v>
      </c>
      <c r="AE15" s="357">
        <f t="shared" ref="AE15:AE20" si="16">IFERROR(AC15/I15,0)</f>
        <v>6.4897378581589102E-2</v>
      </c>
      <c r="AF15" s="502"/>
      <c r="AG15" s="395"/>
    </row>
    <row r="16" spans="1:33" s="1" customFormat="1" ht="40.9" customHeight="1">
      <c r="A16" s="217"/>
      <c r="B16" s="218"/>
      <c r="C16" s="218"/>
      <c r="D16" s="405" t="s">
        <v>42</v>
      </c>
      <c r="E16" s="29" t="s">
        <v>43</v>
      </c>
      <c r="F16" s="29" t="s">
        <v>44</v>
      </c>
      <c r="G16" s="30">
        <v>15</v>
      </c>
      <c r="H16" s="31" t="s">
        <v>41</v>
      </c>
      <c r="I16" s="75">
        <v>333727149</v>
      </c>
      <c r="J16" s="30"/>
      <c r="K16" s="31"/>
      <c r="L16" s="28"/>
      <c r="M16" s="71">
        <v>3</v>
      </c>
      <c r="N16" s="72"/>
      <c r="O16" s="73">
        <v>32336060</v>
      </c>
      <c r="P16" s="426">
        <v>1</v>
      </c>
      <c r="Q16" s="109">
        <v>0</v>
      </c>
      <c r="R16" s="109">
        <v>0.5</v>
      </c>
      <c r="S16" s="114">
        <v>8846700</v>
      </c>
      <c r="T16" s="421">
        <v>0.5</v>
      </c>
      <c r="U16" s="422">
        <v>6426400</v>
      </c>
      <c r="V16" s="421">
        <v>1</v>
      </c>
      <c r="W16" s="421">
        <v>11562000</v>
      </c>
      <c r="X16" s="411">
        <f t="shared" si="2"/>
        <v>3</v>
      </c>
      <c r="Y16" s="356">
        <f t="shared" si="2"/>
        <v>26835100</v>
      </c>
      <c r="Z16" s="357">
        <f t="shared" si="3"/>
        <v>1</v>
      </c>
      <c r="AA16" s="357">
        <f t="shared" si="12"/>
        <v>0.82988156256513623</v>
      </c>
      <c r="AB16" s="358">
        <f t="shared" si="13"/>
        <v>3</v>
      </c>
      <c r="AC16" s="359">
        <f t="shared" si="14"/>
        <v>26835100</v>
      </c>
      <c r="AD16" s="360">
        <f t="shared" si="15"/>
        <v>0.2</v>
      </c>
      <c r="AE16" s="357">
        <f t="shared" si="16"/>
        <v>8.0410299492895021E-2</v>
      </c>
      <c r="AF16" s="502"/>
      <c r="AG16" s="395"/>
    </row>
    <row r="17" spans="1:33" s="1" customFormat="1" ht="39" customHeight="1">
      <c r="A17" s="217"/>
      <c r="B17" s="218"/>
      <c r="C17" s="218"/>
      <c r="D17" s="405" t="s">
        <v>45</v>
      </c>
      <c r="E17" s="29" t="s">
        <v>46</v>
      </c>
      <c r="F17" s="29" t="s">
        <v>47</v>
      </c>
      <c r="G17" s="30">
        <v>12</v>
      </c>
      <c r="H17" s="31" t="s">
        <v>41</v>
      </c>
      <c r="I17" s="75">
        <v>61512500</v>
      </c>
      <c r="J17" s="30"/>
      <c r="K17" s="31"/>
      <c r="L17" s="28"/>
      <c r="M17" s="71">
        <v>2</v>
      </c>
      <c r="N17" s="72"/>
      <c r="O17" s="73">
        <v>8237860</v>
      </c>
      <c r="P17" s="426">
        <f t="shared" ref="P17:P37" si="17">+Q17/O17</f>
        <v>0</v>
      </c>
      <c r="Q17" s="109">
        <v>0</v>
      </c>
      <c r="R17" s="109">
        <v>1</v>
      </c>
      <c r="S17" s="114">
        <v>5064500</v>
      </c>
      <c r="T17" s="421">
        <v>1</v>
      </c>
      <c r="U17" s="422">
        <v>2237500</v>
      </c>
      <c r="V17" s="421">
        <f t="shared" si="11"/>
        <v>0</v>
      </c>
      <c r="W17" s="421">
        <v>0</v>
      </c>
      <c r="X17" s="411">
        <f t="shared" si="2"/>
        <v>2</v>
      </c>
      <c r="Y17" s="356">
        <f t="shared" si="2"/>
        <v>7302000</v>
      </c>
      <c r="Z17" s="357">
        <f t="shared" si="3"/>
        <v>1</v>
      </c>
      <c r="AA17" s="357">
        <f t="shared" si="12"/>
        <v>0.88639525313612999</v>
      </c>
      <c r="AB17" s="358">
        <f t="shared" si="13"/>
        <v>2</v>
      </c>
      <c r="AC17" s="359">
        <f t="shared" si="14"/>
        <v>7302000</v>
      </c>
      <c r="AD17" s="360">
        <f t="shared" si="15"/>
        <v>0.16666666666666666</v>
      </c>
      <c r="AE17" s="357">
        <f t="shared" si="16"/>
        <v>0.11870757976021135</v>
      </c>
      <c r="AF17" s="502"/>
      <c r="AG17" s="395"/>
    </row>
    <row r="18" spans="1:33" s="1" customFormat="1" ht="40.15" customHeight="1">
      <c r="A18" s="217"/>
      <c r="B18" s="218"/>
      <c r="C18" s="218"/>
      <c r="D18" s="405" t="s">
        <v>48</v>
      </c>
      <c r="E18" s="29" t="s">
        <v>49</v>
      </c>
      <c r="F18" s="29" t="s">
        <v>50</v>
      </c>
      <c r="G18" s="30">
        <v>9</v>
      </c>
      <c r="H18" s="31" t="s">
        <v>41</v>
      </c>
      <c r="I18" s="75">
        <v>76890625</v>
      </c>
      <c r="J18" s="30"/>
      <c r="K18" s="31"/>
      <c r="L18" s="28"/>
      <c r="M18" s="71">
        <v>1</v>
      </c>
      <c r="N18" s="72"/>
      <c r="O18" s="73">
        <v>6213600</v>
      </c>
      <c r="P18" s="426">
        <f t="shared" si="17"/>
        <v>0</v>
      </c>
      <c r="Q18" s="109">
        <v>0</v>
      </c>
      <c r="R18" s="109">
        <f t="shared" ref="R18:R20" si="18">+S18/O18</f>
        <v>0.19212694734131583</v>
      </c>
      <c r="S18" s="114">
        <v>1193800</v>
      </c>
      <c r="T18" s="421">
        <f>+U18/O18</f>
        <v>0.24983906270117162</v>
      </c>
      <c r="U18" s="422">
        <v>1552400</v>
      </c>
      <c r="V18" s="421">
        <f>+W18/O18</f>
        <v>0.53109308613364237</v>
      </c>
      <c r="W18" s="421">
        <v>3300000</v>
      </c>
      <c r="X18" s="411">
        <f t="shared" si="2"/>
        <v>0.97305909617612985</v>
      </c>
      <c r="Y18" s="356">
        <f t="shared" si="2"/>
        <v>6046200</v>
      </c>
      <c r="Z18" s="357">
        <f t="shared" si="3"/>
        <v>0.97305909617612985</v>
      </c>
      <c r="AA18" s="357">
        <f t="shared" si="12"/>
        <v>0.97305909617612973</v>
      </c>
      <c r="AB18" s="358">
        <f t="shared" si="13"/>
        <v>0.97305909617612985</v>
      </c>
      <c r="AC18" s="359">
        <f t="shared" si="14"/>
        <v>6046200</v>
      </c>
      <c r="AD18" s="360">
        <f t="shared" si="15"/>
        <v>0.10811767735290331</v>
      </c>
      <c r="AE18" s="357">
        <f t="shared" si="16"/>
        <v>7.8633773623247305E-2</v>
      </c>
      <c r="AF18" s="502"/>
      <c r="AG18" s="395"/>
    </row>
    <row r="19" spans="1:33" s="1" customFormat="1" ht="52.5" customHeight="1">
      <c r="A19" s="217"/>
      <c r="B19" s="218"/>
      <c r="C19" s="218"/>
      <c r="D19" s="405" t="s">
        <v>51</v>
      </c>
      <c r="E19" s="29" t="s">
        <v>52</v>
      </c>
      <c r="F19" s="29" t="s">
        <v>53</v>
      </c>
      <c r="G19" s="30">
        <v>6</v>
      </c>
      <c r="H19" s="31" t="s">
        <v>41</v>
      </c>
      <c r="I19" s="75">
        <v>73815000</v>
      </c>
      <c r="J19" s="30"/>
      <c r="K19" s="31"/>
      <c r="L19" s="28"/>
      <c r="M19" s="71">
        <v>2</v>
      </c>
      <c r="N19" s="72"/>
      <c r="O19" s="73">
        <v>7605000</v>
      </c>
      <c r="P19" s="426">
        <f t="shared" si="17"/>
        <v>0</v>
      </c>
      <c r="Q19" s="109">
        <v>0</v>
      </c>
      <c r="R19" s="109">
        <v>1.4</v>
      </c>
      <c r="S19" s="114">
        <v>5300000</v>
      </c>
      <c r="T19" s="421">
        <f t="shared" si="10"/>
        <v>0</v>
      </c>
      <c r="U19" s="422">
        <v>0</v>
      </c>
      <c r="V19" s="421">
        <v>0.5</v>
      </c>
      <c r="W19" s="421">
        <v>1850000</v>
      </c>
      <c r="X19" s="411">
        <f t="shared" si="2"/>
        <v>1.9</v>
      </c>
      <c r="Y19" s="356">
        <f t="shared" si="2"/>
        <v>7150000</v>
      </c>
      <c r="Z19" s="357">
        <f t="shared" si="3"/>
        <v>0.95</v>
      </c>
      <c r="AA19" s="357">
        <f t="shared" si="12"/>
        <v>0.94017094017094016</v>
      </c>
      <c r="AB19" s="358">
        <f t="shared" si="13"/>
        <v>1.9</v>
      </c>
      <c r="AC19" s="359">
        <f t="shared" si="14"/>
        <v>7150000</v>
      </c>
      <c r="AD19" s="360">
        <f t="shared" si="15"/>
        <v>0.31666666666666665</v>
      </c>
      <c r="AE19" s="357">
        <f t="shared" si="16"/>
        <v>9.686378107430739E-2</v>
      </c>
      <c r="AF19" s="502"/>
      <c r="AG19" s="395"/>
    </row>
    <row r="20" spans="1:33" s="1" customFormat="1" ht="52.5" customHeight="1">
      <c r="A20" s="217"/>
      <c r="B20" s="218"/>
      <c r="C20" s="218"/>
      <c r="D20" s="405" t="s">
        <v>54</v>
      </c>
      <c r="E20" s="29" t="s">
        <v>55</v>
      </c>
      <c r="F20" s="29" t="s">
        <v>56</v>
      </c>
      <c r="G20" s="30">
        <v>3</v>
      </c>
      <c r="H20" s="31" t="s">
        <v>57</v>
      </c>
      <c r="I20" s="75">
        <v>922687500</v>
      </c>
      <c r="J20" s="30"/>
      <c r="K20" s="31"/>
      <c r="L20" s="28"/>
      <c r="M20" s="71">
        <v>1</v>
      </c>
      <c r="N20" s="72"/>
      <c r="O20" s="73">
        <v>50500000</v>
      </c>
      <c r="P20" s="426">
        <f>1/12</f>
        <v>8.3333333333333329E-2</v>
      </c>
      <c r="Q20" s="109">
        <v>0</v>
      </c>
      <c r="R20" s="109">
        <f t="shared" si="18"/>
        <v>0.16192079207920793</v>
      </c>
      <c r="S20" s="114">
        <v>8177000</v>
      </c>
      <c r="T20" s="421">
        <f t="shared" si="10"/>
        <v>0</v>
      </c>
      <c r="U20" s="422">
        <v>0</v>
      </c>
      <c r="V20" s="421">
        <f>+W20/O20</f>
        <v>0.31524752475247525</v>
      </c>
      <c r="W20" s="421">
        <v>15920000</v>
      </c>
      <c r="X20" s="411">
        <f t="shared" si="2"/>
        <v>0.56050165016501652</v>
      </c>
      <c r="Y20" s="356">
        <f t="shared" si="2"/>
        <v>24097000</v>
      </c>
      <c r="Z20" s="357">
        <f t="shared" si="3"/>
        <v>0.56050165016501652</v>
      </c>
      <c r="AA20" s="357">
        <f t="shared" si="12"/>
        <v>0.47716831683168315</v>
      </c>
      <c r="AB20" s="358">
        <f t="shared" si="13"/>
        <v>0.56050165016501652</v>
      </c>
      <c r="AC20" s="359">
        <f t="shared" si="14"/>
        <v>24097000</v>
      </c>
      <c r="AD20" s="360">
        <f t="shared" si="15"/>
        <v>0.18683388338833884</v>
      </c>
      <c r="AE20" s="357">
        <f t="shared" si="16"/>
        <v>2.6116101063469486E-2</v>
      </c>
      <c r="AF20" s="502"/>
      <c r="AG20" s="395"/>
    </row>
    <row r="21" spans="1:33" s="1" customFormat="1" ht="65.25" customHeight="1">
      <c r="A21" s="211">
        <v>2</v>
      </c>
      <c r="B21" s="23"/>
      <c r="C21" s="23"/>
      <c r="D21" s="212"/>
      <c r="E21" s="24" t="s">
        <v>58</v>
      </c>
      <c r="F21" s="219"/>
      <c r="G21" s="220">
        <f>SUM(G22:G22)</f>
        <v>63</v>
      </c>
      <c r="H21" s="221"/>
      <c r="I21" s="281">
        <f>SUM(I22:I22)</f>
        <v>615125000</v>
      </c>
      <c r="J21" s="220">
        <f>SUM(J22:J22)</f>
        <v>0</v>
      </c>
      <c r="K21" s="221"/>
      <c r="L21" s="281"/>
      <c r="M21" s="220">
        <f>SUM(M22:M22)</f>
        <v>1</v>
      </c>
      <c r="N21" s="221" t="s">
        <v>59</v>
      </c>
      <c r="O21" s="281">
        <f>SUM(O22:O22)</f>
        <v>41827440</v>
      </c>
      <c r="P21" s="281">
        <f t="shared" si="17"/>
        <v>0</v>
      </c>
      <c r="Q21" s="281">
        <f>SUM(Q22:Q22)</f>
        <v>0</v>
      </c>
      <c r="R21" s="281">
        <f t="shared" ref="R21:R37" si="19">+S21/O21</f>
        <v>3.6698397033143794E-2</v>
      </c>
      <c r="S21" s="281">
        <f>SUM(S22:S22)</f>
        <v>1535000</v>
      </c>
      <c r="T21" s="416">
        <f t="shared" ref="T21:V21" si="20">SUM(T22)</f>
        <v>0</v>
      </c>
      <c r="U21" s="416">
        <f>SUM(U22:U22)</f>
        <v>0</v>
      </c>
      <c r="V21" s="416">
        <f t="shared" si="20"/>
        <v>0.9591789504688788</v>
      </c>
      <c r="W21" s="416">
        <f>SUM(W22:W22)</f>
        <v>40120000</v>
      </c>
      <c r="X21" s="416"/>
      <c r="Y21" s="281">
        <f t="shared" si="2"/>
        <v>41655000</v>
      </c>
      <c r="Z21" s="348"/>
      <c r="AA21" s="348">
        <f t="shared" si="4"/>
        <v>0.99587734750202261</v>
      </c>
      <c r="AB21" s="349">
        <f t="shared" si="5"/>
        <v>0</v>
      </c>
      <c r="AC21" s="350">
        <f t="shared" si="6"/>
        <v>41655000</v>
      </c>
      <c r="AD21" s="351">
        <f t="shared" si="7"/>
        <v>0</v>
      </c>
      <c r="AE21" s="348">
        <f t="shared" si="8"/>
        <v>6.7717943507417194E-2</v>
      </c>
      <c r="AF21" s="502"/>
      <c r="AG21" s="23"/>
    </row>
    <row r="22" spans="1:33" s="1" customFormat="1" ht="40.15" customHeight="1">
      <c r="A22" s="217">
        <v>2.1</v>
      </c>
      <c r="B22" s="28"/>
      <c r="C22" s="28"/>
      <c r="D22" s="405" t="s">
        <v>60</v>
      </c>
      <c r="E22" s="29" t="s">
        <v>61</v>
      </c>
      <c r="F22" s="29" t="s">
        <v>62</v>
      </c>
      <c r="G22" s="30">
        <v>63</v>
      </c>
      <c r="H22" s="31" t="s">
        <v>63</v>
      </c>
      <c r="I22" s="75">
        <v>615125000</v>
      </c>
      <c r="J22" s="30"/>
      <c r="K22" s="31"/>
      <c r="L22" s="28"/>
      <c r="M22" s="71">
        <v>1</v>
      </c>
      <c r="N22" s="72"/>
      <c r="O22" s="73">
        <v>41827440</v>
      </c>
      <c r="P22" s="426">
        <f t="shared" si="17"/>
        <v>0</v>
      </c>
      <c r="Q22" s="431"/>
      <c r="R22" s="426">
        <f t="shared" si="19"/>
        <v>3.6698397033143794E-2</v>
      </c>
      <c r="S22" s="114">
        <v>1535000</v>
      </c>
      <c r="T22" s="423">
        <v>0</v>
      </c>
      <c r="U22" s="422">
        <v>0</v>
      </c>
      <c r="V22" s="423">
        <f>W22/O22</f>
        <v>0.9591789504688788</v>
      </c>
      <c r="W22" s="422">
        <v>40120000</v>
      </c>
      <c r="X22" s="418">
        <f t="shared" si="2"/>
        <v>0.99587734750202261</v>
      </c>
      <c r="Y22" s="333">
        <f t="shared" si="2"/>
        <v>41655000</v>
      </c>
      <c r="Z22" s="361">
        <f t="shared" si="3"/>
        <v>0.99587734750202261</v>
      </c>
      <c r="AA22" s="361">
        <f t="shared" si="4"/>
        <v>0.99587734750202261</v>
      </c>
      <c r="AB22" s="362">
        <f t="shared" si="5"/>
        <v>0.99587734750202261</v>
      </c>
      <c r="AC22" s="288">
        <f t="shared" si="6"/>
        <v>41655000</v>
      </c>
      <c r="AD22" s="363">
        <f t="shared" si="7"/>
        <v>1.5807576944476549E-2</v>
      </c>
      <c r="AE22" s="361">
        <f t="shared" si="8"/>
        <v>6.7717943507417194E-2</v>
      </c>
      <c r="AF22" s="502"/>
      <c r="AG22" s="28"/>
    </row>
    <row r="23" spans="1:33" s="1" customFormat="1" ht="68.25" customHeight="1">
      <c r="A23" s="222" t="s">
        <v>64</v>
      </c>
      <c r="B23" s="222"/>
      <c r="C23" s="211"/>
      <c r="D23" s="223"/>
      <c r="E23" s="24" t="s">
        <v>65</v>
      </c>
      <c r="F23" s="219" t="s">
        <v>66</v>
      </c>
      <c r="G23" s="451">
        <v>100</v>
      </c>
      <c r="H23" s="452" t="s">
        <v>67</v>
      </c>
      <c r="I23" s="281">
        <f>I24+I25+I26</f>
        <v>595963856</v>
      </c>
      <c r="J23" s="451"/>
      <c r="K23" s="452"/>
      <c r="L23" s="281"/>
      <c r="M23" s="459">
        <v>3</v>
      </c>
      <c r="N23" s="452"/>
      <c r="O23" s="281">
        <f>O24+O25+O26</f>
        <v>290320740</v>
      </c>
      <c r="P23" s="281">
        <f>SUM(P24:P26)</f>
        <v>0.5</v>
      </c>
      <c r="Q23" s="453">
        <f t="shared" ref="Q23" si="21">0+Q24+Q25+Q26</f>
        <v>41738213</v>
      </c>
      <c r="R23" s="281">
        <f t="shared" ref="R23:W23" si="22">SUM(R24:R26)</f>
        <v>1.5</v>
      </c>
      <c r="S23" s="113">
        <f t="shared" si="22"/>
        <v>52398402</v>
      </c>
      <c r="T23" s="416">
        <f t="shared" si="22"/>
        <v>0.5</v>
      </c>
      <c r="U23" s="416">
        <f t="shared" si="22"/>
        <v>57278304</v>
      </c>
      <c r="V23" s="416">
        <f t="shared" si="22"/>
        <v>0.42000000000000004</v>
      </c>
      <c r="W23" s="416">
        <f t="shared" si="22"/>
        <v>103006046</v>
      </c>
      <c r="X23" s="416"/>
      <c r="Y23" s="281">
        <f t="shared" si="2"/>
        <v>254420965</v>
      </c>
      <c r="Z23" s="348"/>
      <c r="AA23" s="348">
        <f t="shared" si="4"/>
        <v>0.87634443546816532</v>
      </c>
      <c r="AB23" s="349">
        <f t="shared" si="5"/>
        <v>0</v>
      </c>
      <c r="AC23" s="350">
        <f t="shared" si="6"/>
        <v>254420965</v>
      </c>
      <c r="AD23" s="351">
        <f t="shared" si="7"/>
        <v>0</v>
      </c>
      <c r="AE23" s="348">
        <f t="shared" si="8"/>
        <v>0.42690670321456542</v>
      </c>
      <c r="AF23" s="502"/>
      <c r="AG23" s="396"/>
    </row>
    <row r="24" spans="1:33" s="1" customFormat="1" ht="39" customHeight="1">
      <c r="A24" s="406" t="s">
        <v>68</v>
      </c>
      <c r="B24" s="218"/>
      <c r="C24" s="218"/>
      <c r="D24" s="405" t="s">
        <v>69</v>
      </c>
      <c r="E24" s="29" t="s">
        <v>70</v>
      </c>
      <c r="F24" s="29" t="s">
        <v>71</v>
      </c>
      <c r="G24" s="30">
        <v>3</v>
      </c>
      <c r="H24" s="31" t="s">
        <v>57</v>
      </c>
      <c r="I24" s="75">
        <v>7289231</v>
      </c>
      <c r="J24" s="30"/>
      <c r="K24" s="31"/>
      <c r="L24" s="28"/>
      <c r="M24" s="71">
        <v>1</v>
      </c>
      <c r="N24" s="72"/>
      <c r="O24" s="73">
        <v>600000</v>
      </c>
      <c r="P24" s="426">
        <f t="shared" si="17"/>
        <v>0</v>
      </c>
      <c r="Q24" s="109">
        <v>0</v>
      </c>
      <c r="R24" s="426">
        <f t="shared" si="19"/>
        <v>1</v>
      </c>
      <c r="S24" s="114">
        <v>600000</v>
      </c>
      <c r="T24" s="423">
        <v>0</v>
      </c>
      <c r="U24" s="422">
        <v>0</v>
      </c>
      <c r="V24" s="423">
        <v>0</v>
      </c>
      <c r="W24" s="422">
        <v>0</v>
      </c>
      <c r="X24" s="418">
        <f t="shared" si="2"/>
        <v>1</v>
      </c>
      <c r="Y24" s="333">
        <f t="shared" si="2"/>
        <v>600000</v>
      </c>
      <c r="Z24" s="361">
        <f t="shared" si="3"/>
        <v>1</v>
      </c>
      <c r="AA24" s="361">
        <f t="shared" si="4"/>
        <v>1</v>
      </c>
      <c r="AB24" s="362">
        <f t="shared" si="5"/>
        <v>1</v>
      </c>
      <c r="AC24" s="288">
        <f t="shared" si="6"/>
        <v>600000</v>
      </c>
      <c r="AD24" s="363">
        <f t="shared" si="7"/>
        <v>0.33333333333333331</v>
      </c>
      <c r="AE24" s="361">
        <f t="shared" si="8"/>
        <v>8.2313209719927935E-2</v>
      </c>
      <c r="AF24" s="502"/>
      <c r="AG24" s="395"/>
    </row>
    <row r="25" spans="1:33" s="1" customFormat="1" ht="66" customHeight="1">
      <c r="A25" s="407" t="s">
        <v>72</v>
      </c>
      <c r="B25" s="218"/>
      <c r="C25" s="218"/>
      <c r="D25" s="405" t="s">
        <v>73</v>
      </c>
      <c r="E25" s="29" t="s">
        <v>74</v>
      </c>
      <c r="F25" s="29" t="s">
        <v>75</v>
      </c>
      <c r="G25" s="30">
        <v>3</v>
      </c>
      <c r="H25" s="31" t="s">
        <v>57</v>
      </c>
      <c r="I25" s="75">
        <v>587444375</v>
      </c>
      <c r="J25" s="30"/>
      <c r="K25" s="31"/>
      <c r="L25" s="28"/>
      <c r="M25" s="71">
        <v>1</v>
      </c>
      <c r="N25" s="72"/>
      <c r="O25" s="73">
        <v>35300000</v>
      </c>
      <c r="P25" s="455">
        <v>0.25</v>
      </c>
      <c r="Q25" s="109">
        <v>4138213</v>
      </c>
      <c r="R25" s="427">
        <v>0.25</v>
      </c>
      <c r="S25" s="114">
        <f>6651082+3147320</f>
        <v>9798402</v>
      </c>
      <c r="T25" s="423">
        <v>0.25</v>
      </c>
      <c r="U25" s="422">
        <v>10778304</v>
      </c>
      <c r="V25" s="423">
        <v>0.25</v>
      </c>
      <c r="W25" s="422">
        <v>10226046</v>
      </c>
      <c r="X25" s="419">
        <f t="shared" si="2"/>
        <v>1</v>
      </c>
      <c r="Y25" s="334">
        <f t="shared" si="2"/>
        <v>34940965</v>
      </c>
      <c r="Z25" s="361">
        <f t="shared" si="3"/>
        <v>1</v>
      </c>
      <c r="AA25" s="361">
        <f t="shared" si="4"/>
        <v>0.98982903682719547</v>
      </c>
      <c r="AB25" s="362">
        <f t="shared" si="5"/>
        <v>1</v>
      </c>
      <c r="AC25" s="288">
        <f t="shared" si="6"/>
        <v>34940965</v>
      </c>
      <c r="AD25" s="363">
        <f t="shared" si="7"/>
        <v>0.33333333333333331</v>
      </c>
      <c r="AE25" s="361">
        <f t="shared" si="8"/>
        <v>5.9479614559250819E-2</v>
      </c>
      <c r="AF25" s="502"/>
      <c r="AG25" s="395"/>
    </row>
    <row r="26" spans="1:33" s="1" customFormat="1" ht="55.15" customHeight="1">
      <c r="A26" s="407" t="s">
        <v>76</v>
      </c>
      <c r="B26" s="218"/>
      <c r="C26" s="218"/>
      <c r="D26" s="405" t="s">
        <v>77</v>
      </c>
      <c r="E26" s="29" t="s">
        <v>78</v>
      </c>
      <c r="F26" s="29" t="s">
        <v>79</v>
      </c>
      <c r="G26" s="30">
        <v>3</v>
      </c>
      <c r="H26" s="31" t="s">
        <v>57</v>
      </c>
      <c r="I26" s="75">
        <v>1230250</v>
      </c>
      <c r="J26" s="30"/>
      <c r="K26" s="31"/>
      <c r="L26" s="28"/>
      <c r="M26" s="71">
        <v>1</v>
      </c>
      <c r="N26" s="72"/>
      <c r="O26" s="73">
        <v>254420740</v>
      </c>
      <c r="P26" s="455">
        <v>0.25</v>
      </c>
      <c r="Q26" s="109">
        <v>37600000</v>
      </c>
      <c r="R26" s="427">
        <v>0.25</v>
      </c>
      <c r="S26" s="114">
        <f>28000000+14000000</f>
        <v>42000000</v>
      </c>
      <c r="T26" s="423">
        <v>0.25</v>
      </c>
      <c r="U26" s="422">
        <v>46500000</v>
      </c>
      <c r="V26" s="423">
        <v>0.17</v>
      </c>
      <c r="W26" s="422">
        <v>92780000</v>
      </c>
      <c r="X26" s="420">
        <f t="shared" si="2"/>
        <v>0.92</v>
      </c>
      <c r="Y26" s="335">
        <f t="shared" si="2"/>
        <v>218880000</v>
      </c>
      <c r="Z26" s="361">
        <f t="shared" si="3"/>
        <v>0.92</v>
      </c>
      <c r="AA26" s="361">
        <f t="shared" si="4"/>
        <v>0.86030722180903962</v>
      </c>
      <c r="AB26" s="362">
        <f t="shared" si="5"/>
        <v>0.92</v>
      </c>
      <c r="AC26" s="288">
        <f t="shared" si="6"/>
        <v>218880000</v>
      </c>
      <c r="AD26" s="363">
        <f t="shared" si="7"/>
        <v>0.3066666666666667</v>
      </c>
      <c r="AE26" s="361">
        <f t="shared" si="8"/>
        <v>177.91505791505793</v>
      </c>
      <c r="AF26" s="502"/>
      <c r="AG26" s="395"/>
    </row>
    <row r="27" spans="1:33" s="1" customFormat="1" ht="65.650000000000006" customHeight="1">
      <c r="A27" s="211">
        <v>4</v>
      </c>
      <c r="B27" s="211"/>
      <c r="C27" s="211"/>
      <c r="D27" s="223"/>
      <c r="E27" s="24" t="s">
        <v>80</v>
      </c>
      <c r="F27" s="224"/>
      <c r="G27" s="225">
        <f>SUM(G28:G30)</f>
        <v>96</v>
      </c>
      <c r="H27" s="226" t="s">
        <v>81</v>
      </c>
      <c r="I27" s="287">
        <f>SUM(I28:I30)</f>
        <v>417454581</v>
      </c>
      <c r="J27" s="225">
        <f>SUM(J28:J30)</f>
        <v>0</v>
      </c>
      <c r="K27" s="226" t="s">
        <v>81</v>
      </c>
      <c r="L27" s="287">
        <f>SUM(L28:L30)</f>
        <v>0</v>
      </c>
      <c r="M27" s="225">
        <f>SUM(M28:M30)</f>
        <v>27</v>
      </c>
      <c r="N27" s="226" t="s">
        <v>81</v>
      </c>
      <c r="O27" s="287">
        <f>SUM(O28:O30)</f>
        <v>48330000</v>
      </c>
      <c r="P27" s="281">
        <f>SUM(P28:P30)</f>
        <v>3.8138888888888891</v>
      </c>
      <c r="Q27" s="453">
        <f>0+Q28+Q29+Q30</f>
        <v>11850000</v>
      </c>
      <c r="R27" s="281">
        <f t="shared" ref="R27:W27" si="23">SUM(R28:R30)</f>
        <v>21.776441587301587</v>
      </c>
      <c r="S27" s="113">
        <f t="shared" si="23"/>
        <v>17076940</v>
      </c>
      <c r="T27" s="281">
        <f t="shared" si="23"/>
        <v>0.43809523809523809</v>
      </c>
      <c r="U27" s="336">
        <f t="shared" si="23"/>
        <v>5800000</v>
      </c>
      <c r="V27" s="281">
        <f t="shared" si="23"/>
        <v>0.70493882275132269</v>
      </c>
      <c r="W27" s="281">
        <f t="shared" si="23"/>
        <v>9643625</v>
      </c>
      <c r="X27" s="281"/>
      <c r="Y27" s="281">
        <f t="shared" si="2"/>
        <v>44370565</v>
      </c>
      <c r="Z27" s="348"/>
      <c r="AA27" s="348">
        <f t="shared" si="4"/>
        <v>0.91807500517277052</v>
      </c>
      <c r="AB27" s="349">
        <f t="shared" si="5"/>
        <v>0</v>
      </c>
      <c r="AC27" s="350">
        <f t="shared" si="6"/>
        <v>44370565</v>
      </c>
      <c r="AD27" s="351">
        <f t="shared" si="7"/>
        <v>0</v>
      </c>
      <c r="AE27" s="348">
        <f t="shared" si="8"/>
        <v>0.10628836529643929</v>
      </c>
      <c r="AF27" s="502"/>
      <c r="AG27" s="396"/>
    </row>
    <row r="28" spans="1:33" s="1" customFormat="1" ht="79.900000000000006" customHeight="1">
      <c r="A28" s="406" t="s">
        <v>82</v>
      </c>
      <c r="B28" s="218"/>
      <c r="C28" s="218"/>
      <c r="D28" s="405" t="s">
        <v>83</v>
      </c>
      <c r="E28" s="29" t="s">
        <v>84</v>
      </c>
      <c r="F28" s="29" t="s">
        <v>85</v>
      </c>
      <c r="G28" s="30">
        <v>3</v>
      </c>
      <c r="H28" s="31" t="s">
        <v>86</v>
      </c>
      <c r="I28" s="75">
        <v>103217975</v>
      </c>
      <c r="J28" s="30"/>
      <c r="K28" s="31"/>
      <c r="L28" s="28"/>
      <c r="M28" s="71">
        <v>1</v>
      </c>
      <c r="N28" s="72"/>
      <c r="O28" s="73">
        <v>21000000</v>
      </c>
      <c r="P28" s="428">
        <f t="shared" si="17"/>
        <v>0.3</v>
      </c>
      <c r="Q28" s="109">
        <v>6300000</v>
      </c>
      <c r="R28" s="428">
        <f t="shared" si="19"/>
        <v>0.29033047619047619</v>
      </c>
      <c r="S28" s="114">
        <f>4256940+1840000</f>
        <v>6096940</v>
      </c>
      <c r="T28" s="424">
        <f>U28/O28</f>
        <v>0.10476190476190476</v>
      </c>
      <c r="U28" s="422">
        <v>2200000</v>
      </c>
      <c r="V28" s="423">
        <f>W28/O28</f>
        <v>0.19904761904761906</v>
      </c>
      <c r="W28" s="422">
        <v>4180000</v>
      </c>
      <c r="X28" s="333">
        <f t="shared" si="2"/>
        <v>0.89413999999999993</v>
      </c>
      <c r="Y28" s="333">
        <f t="shared" si="2"/>
        <v>18776940</v>
      </c>
      <c r="Z28" s="361">
        <f t="shared" si="3"/>
        <v>0.89413999999999993</v>
      </c>
      <c r="AA28" s="361">
        <f t="shared" si="4"/>
        <v>0.89414000000000005</v>
      </c>
      <c r="AB28" s="362">
        <f t="shared" si="5"/>
        <v>0.89413999999999993</v>
      </c>
      <c r="AC28" s="288">
        <f t="shared" si="6"/>
        <v>18776940</v>
      </c>
      <c r="AD28" s="363">
        <f t="shared" si="7"/>
        <v>0.29804666666666663</v>
      </c>
      <c r="AE28" s="361">
        <f t="shared" si="8"/>
        <v>0.18191540766034212</v>
      </c>
      <c r="AF28" s="502"/>
      <c r="AG28" s="395"/>
    </row>
    <row r="29" spans="1:33" s="1" customFormat="1" ht="67.150000000000006" customHeight="1">
      <c r="A29" s="406" t="s">
        <v>87</v>
      </c>
      <c r="B29" s="218"/>
      <c r="C29" s="218"/>
      <c r="D29" s="405" t="s">
        <v>88</v>
      </c>
      <c r="E29" s="29" t="s">
        <v>89</v>
      </c>
      <c r="F29" s="29" t="s">
        <v>90</v>
      </c>
      <c r="G29" s="30">
        <v>21</v>
      </c>
      <c r="H29" s="31" t="s">
        <v>86</v>
      </c>
      <c r="I29" s="75">
        <v>264503750</v>
      </c>
      <c r="J29" s="30"/>
      <c r="K29" s="31"/>
      <c r="L29" s="28"/>
      <c r="M29" s="71">
        <v>2</v>
      </c>
      <c r="N29" s="72"/>
      <c r="O29" s="73">
        <v>21600000</v>
      </c>
      <c r="P29" s="428">
        <f>+Q29/O29*2</f>
        <v>0.51388888888888884</v>
      </c>
      <c r="Q29" s="109">
        <v>5550000</v>
      </c>
      <c r="R29" s="428">
        <f>+S29/O29*2</f>
        <v>0.4861111111111111</v>
      </c>
      <c r="S29" s="114">
        <f>3450000+1800000</f>
        <v>5250000</v>
      </c>
      <c r="T29" s="424">
        <f>U29/O29*2</f>
        <v>0.33333333333333331</v>
      </c>
      <c r="U29" s="422">
        <v>3600000</v>
      </c>
      <c r="V29" s="423">
        <f>W29/O29*2</f>
        <v>0.50589120370370366</v>
      </c>
      <c r="W29" s="422">
        <v>5463625</v>
      </c>
      <c r="X29" s="333">
        <f t="shared" si="2"/>
        <v>1.8392245370370368</v>
      </c>
      <c r="Y29" s="333">
        <f t="shared" ref="Y29" si="24">SUM(Q29,S29,U29,W29)</f>
        <v>19863625</v>
      </c>
      <c r="Z29" s="361">
        <f t="shared" ref="Z29" si="25">IFERROR(X29/M29,0)</f>
        <v>0.91961226851851841</v>
      </c>
      <c r="AA29" s="361">
        <f t="shared" ref="AA29" si="26">IFERROR(Y29/O29,0)</f>
        <v>0.91961226851851852</v>
      </c>
      <c r="AB29" s="362">
        <f t="shared" ref="AB29" si="27">SUM(J29,X29)</f>
        <v>1.8392245370370368</v>
      </c>
      <c r="AC29" s="288">
        <f t="shared" ref="AC29" si="28">SUM(L29,Y29)</f>
        <v>19863625</v>
      </c>
      <c r="AD29" s="363">
        <f t="shared" ref="AD29" si="29">IFERROR(AB29/G29,0)</f>
        <v>8.7582120811287467E-2</v>
      </c>
      <c r="AE29" s="361">
        <f t="shared" ref="AE29" si="30">IFERROR(AC29/I29,0)</f>
        <v>7.5097706554254906E-2</v>
      </c>
      <c r="AF29" s="502"/>
      <c r="AG29" s="395"/>
    </row>
    <row r="30" spans="1:33" s="1" customFormat="1" ht="50.25" customHeight="1">
      <c r="A30" s="406" t="s">
        <v>91</v>
      </c>
      <c r="B30" s="218"/>
      <c r="C30" s="218"/>
      <c r="D30" s="405" t="s">
        <v>92</v>
      </c>
      <c r="E30" s="29" t="s">
        <v>93</v>
      </c>
      <c r="F30" s="29" t="s">
        <v>94</v>
      </c>
      <c r="G30" s="30">
        <v>72</v>
      </c>
      <c r="H30" s="31"/>
      <c r="I30" s="75">
        <v>49732856</v>
      </c>
      <c r="J30" s="30"/>
      <c r="K30" s="31"/>
      <c r="L30" s="28"/>
      <c r="M30" s="71">
        <v>24</v>
      </c>
      <c r="N30" s="72"/>
      <c r="O30" s="73">
        <v>5730000</v>
      </c>
      <c r="P30" s="428">
        <v>3</v>
      </c>
      <c r="Q30" s="109">
        <v>0</v>
      </c>
      <c r="R30" s="428">
        <v>21</v>
      </c>
      <c r="S30" s="114">
        <v>5730000</v>
      </c>
      <c r="T30" s="424">
        <v>0</v>
      </c>
      <c r="U30" s="425">
        <v>0</v>
      </c>
      <c r="V30" s="424">
        <v>0</v>
      </c>
      <c r="W30" s="425">
        <v>0</v>
      </c>
      <c r="X30" s="335">
        <f t="shared" si="2"/>
        <v>24</v>
      </c>
      <c r="Y30" s="335">
        <f t="shared" si="2"/>
        <v>5730000</v>
      </c>
      <c r="Z30" s="361">
        <f t="shared" si="3"/>
        <v>1</v>
      </c>
      <c r="AA30" s="361">
        <f t="shared" si="4"/>
        <v>1</v>
      </c>
      <c r="AB30" s="362">
        <f t="shared" si="5"/>
        <v>24</v>
      </c>
      <c r="AC30" s="288">
        <f t="shared" si="6"/>
        <v>5730000</v>
      </c>
      <c r="AD30" s="363">
        <f t="shared" si="7"/>
        <v>0.33333333333333331</v>
      </c>
      <c r="AE30" s="361">
        <f t="shared" si="8"/>
        <v>0.11521558303428221</v>
      </c>
      <c r="AF30" s="502"/>
      <c r="AG30" s="395"/>
    </row>
    <row r="31" spans="1:33" s="1" customFormat="1" ht="78" customHeight="1">
      <c r="A31" s="433" t="s">
        <v>18</v>
      </c>
      <c r="B31" s="434" t="s">
        <v>95</v>
      </c>
      <c r="C31" s="434" t="s">
        <v>96</v>
      </c>
      <c r="D31" s="435"/>
      <c r="E31" s="436" t="s">
        <v>97</v>
      </c>
      <c r="F31" s="437" t="s">
        <v>98</v>
      </c>
      <c r="G31" s="438">
        <f>G32+G37</f>
        <v>9</v>
      </c>
      <c r="H31" s="439"/>
      <c r="I31" s="440">
        <f>+I32+I34+I37</f>
        <v>2520000000</v>
      </c>
      <c r="J31" s="441"/>
      <c r="K31" s="442"/>
      <c r="L31" s="440">
        <f t="shared" ref="L31" si="31">+L32+L34+L37</f>
        <v>403047650</v>
      </c>
      <c r="M31" s="438">
        <f>M32+M34+M37</f>
        <v>4</v>
      </c>
      <c r="N31" s="439"/>
      <c r="O31" s="440">
        <f>O32+O34+O37</f>
        <v>813469580</v>
      </c>
      <c r="P31" s="432">
        <f t="shared" si="17"/>
        <v>0</v>
      </c>
      <c r="Q31" s="443">
        <f t="shared" ref="Q31" si="32">0+Q32</f>
        <v>0</v>
      </c>
      <c r="R31" s="432">
        <f t="shared" si="19"/>
        <v>6.1555999426555076E-2</v>
      </c>
      <c r="S31" s="444">
        <f>S32+S34+S37</f>
        <v>50073933</v>
      </c>
      <c r="T31" s="445">
        <f>+U31/O31</f>
        <v>5.7416126119922029E-2</v>
      </c>
      <c r="U31" s="440">
        <f>+U32</f>
        <v>46706272</v>
      </c>
      <c r="V31" s="445">
        <f>+W31/O31</f>
        <v>0.37081474269756959</v>
      </c>
      <c r="W31" s="440">
        <f>+W32+W34+W37</f>
        <v>301646513</v>
      </c>
      <c r="X31" s="440"/>
      <c r="Y31" s="440">
        <f>+Y32+Y34+Y37</f>
        <v>576246516</v>
      </c>
      <c r="Z31" s="446"/>
      <c r="AA31" s="446">
        <f t="shared" ref="AA31" si="33">IFERROR(Y31/O31,0)</f>
        <v>0.70838114929878504</v>
      </c>
      <c r="AB31" s="447">
        <f t="shared" ref="AB31" si="34">SUM(J31,X31)</f>
        <v>0</v>
      </c>
      <c r="AC31" s="448">
        <f t="shared" ref="AC31" si="35">SUM(L31,Y31)</f>
        <v>979294166</v>
      </c>
      <c r="AD31" s="449">
        <f t="shared" ref="AD31" si="36">IFERROR(AB31/G31,0)</f>
        <v>0</v>
      </c>
      <c r="AE31" s="446">
        <f t="shared" ref="AE31" si="37">IFERROR(AC31/I31,0)</f>
        <v>0.38860879603174603</v>
      </c>
      <c r="AF31" s="502"/>
      <c r="AG31" s="450"/>
    </row>
    <row r="32" spans="1:33" s="1" customFormat="1" ht="52.9" customHeight="1">
      <c r="A32" s="222" t="s">
        <v>99</v>
      </c>
      <c r="B32" s="227"/>
      <c r="C32" s="227"/>
      <c r="D32" s="228"/>
      <c r="E32" s="34" t="s">
        <v>100</v>
      </c>
      <c r="F32" s="32" t="s">
        <v>101</v>
      </c>
      <c r="G32" s="25">
        <f>G33</f>
        <v>3</v>
      </c>
      <c r="H32" s="26"/>
      <c r="I32" s="66">
        <f>0+I33</f>
        <v>420000000</v>
      </c>
      <c r="J32" s="25"/>
      <c r="K32" s="26"/>
      <c r="L32" s="66">
        <f>0+L33</f>
        <v>220595042</v>
      </c>
      <c r="M32" s="67">
        <f>M33</f>
        <v>1</v>
      </c>
      <c r="N32" s="68"/>
      <c r="O32" s="66">
        <f>0+O33</f>
        <v>80849600</v>
      </c>
      <c r="P32" s="281">
        <f t="shared" si="17"/>
        <v>0</v>
      </c>
      <c r="Q32" s="453">
        <f>Q33</f>
        <v>0</v>
      </c>
      <c r="R32" s="454">
        <f t="shared" si="19"/>
        <v>0.20822564366428528</v>
      </c>
      <c r="S32" s="113">
        <f>S33</f>
        <v>16834960</v>
      </c>
      <c r="T32" s="281">
        <f>+U32/O32</f>
        <v>0.57769329718390694</v>
      </c>
      <c r="U32" s="281">
        <f>+U33</f>
        <v>46706272</v>
      </c>
      <c r="V32" s="281">
        <f>V33</f>
        <v>0.19</v>
      </c>
      <c r="W32" s="281">
        <f>W33</f>
        <v>5050000</v>
      </c>
      <c r="X32" s="281"/>
      <c r="Y32" s="281">
        <f t="shared" ref="X32:Y36" si="38">SUM(Q32,S32,U32,W32)</f>
        <v>68591232</v>
      </c>
      <c r="Z32" s="348"/>
      <c r="AA32" s="348">
        <f t="shared" ref="AA32:AA36" si="39">IFERROR(Y32/O32,0)</f>
        <v>0.84838059804872257</v>
      </c>
      <c r="AB32" s="349">
        <f t="shared" ref="AB32:AB36" si="40">SUM(J32,X32)</f>
        <v>0</v>
      </c>
      <c r="AC32" s="350">
        <f t="shared" ref="AC32:AC36" si="41">SUM(L32,Y32)</f>
        <v>289186274</v>
      </c>
      <c r="AD32" s="351">
        <f>AD33</f>
        <v>0.99197298028273073</v>
      </c>
      <c r="AE32" s="348">
        <f t="shared" ref="AE32:AE39" si="42">IFERROR(AC32/I32,0)</f>
        <v>0.68853874761904765</v>
      </c>
      <c r="AF32" s="502"/>
      <c r="AG32" s="396"/>
    </row>
    <row r="33" spans="1:33" s="1" customFormat="1" ht="52.9" customHeight="1">
      <c r="A33" s="213"/>
      <c r="B33" s="229"/>
      <c r="C33" s="229"/>
      <c r="D33" s="405" t="s">
        <v>102</v>
      </c>
      <c r="E33" s="35" t="s">
        <v>103</v>
      </c>
      <c r="F33" s="29" t="s">
        <v>104</v>
      </c>
      <c r="G33" s="30">
        <v>3</v>
      </c>
      <c r="H33" s="31" t="s">
        <v>81</v>
      </c>
      <c r="I33" s="75">
        <v>420000000</v>
      </c>
      <c r="J33" s="30">
        <v>2</v>
      </c>
      <c r="K33" s="31"/>
      <c r="L33" s="76">
        <v>220595042</v>
      </c>
      <c r="M33" s="71">
        <v>1</v>
      </c>
      <c r="N33" s="72"/>
      <c r="O33" s="73">
        <v>80849600</v>
      </c>
      <c r="P33" s="421">
        <v>0</v>
      </c>
      <c r="Q33" s="109">
        <v>0</v>
      </c>
      <c r="R33" s="428">
        <f t="shared" si="19"/>
        <v>0.20822564366428528</v>
      </c>
      <c r="S33" s="114">
        <v>16834960</v>
      </c>
      <c r="T33" s="421">
        <f>U33/O33</f>
        <v>0.57769329718390694</v>
      </c>
      <c r="U33" s="421">
        <v>46706272</v>
      </c>
      <c r="V33" s="421">
        <v>0.19</v>
      </c>
      <c r="W33" s="421">
        <v>5050000</v>
      </c>
      <c r="X33" s="411">
        <f>SUM(P33,R33,T33,V33)</f>
        <v>0.97591894084819231</v>
      </c>
      <c r="Y33" s="411">
        <f>SUM(Q33+S33+U33+W33)</f>
        <v>68591232</v>
      </c>
      <c r="Z33" s="412">
        <f t="shared" ref="Z33" si="43">IFERROR(X33/M33,0)</f>
        <v>0.97591894084819231</v>
      </c>
      <c r="AA33" s="412">
        <f t="shared" ref="AA33" si="44">IFERROR(Y33/O33,0)</f>
        <v>0.84838059804872257</v>
      </c>
      <c r="AB33" s="413">
        <f t="shared" ref="AB33" si="45">SUM(J33,X33)</f>
        <v>2.9759189408481923</v>
      </c>
      <c r="AC33" s="414">
        <f t="shared" ref="AC33" si="46">SUM(L33,Y33)</f>
        <v>289186274</v>
      </c>
      <c r="AD33" s="415">
        <f t="shared" ref="AD33" si="47">IFERROR(AB33/G33,0)</f>
        <v>0.99197298028273073</v>
      </c>
      <c r="AE33" s="412">
        <f t="shared" ref="AE33" si="48">IFERROR(AC33/I33,0)</f>
        <v>0.68853874761904765</v>
      </c>
      <c r="AF33" s="502"/>
      <c r="AG33" s="396"/>
    </row>
    <row r="34" spans="1:33" s="1" customFormat="1" ht="51" customHeight="1">
      <c r="A34" s="211">
        <v>5</v>
      </c>
      <c r="B34" s="211"/>
      <c r="C34" s="211"/>
      <c r="D34" s="223"/>
      <c r="E34" s="24" t="s">
        <v>105</v>
      </c>
      <c r="F34" s="32"/>
      <c r="G34" s="25">
        <f>-G35+G36</f>
        <v>1</v>
      </c>
      <c r="H34" s="26"/>
      <c r="I34" s="278">
        <f>I35+I36</f>
        <v>1160000000</v>
      </c>
      <c r="J34" s="25"/>
      <c r="K34" s="26"/>
      <c r="L34" s="278">
        <f>L35+L36</f>
        <v>0</v>
      </c>
      <c r="M34" s="284">
        <f>SUM(M35:M36)</f>
        <v>2</v>
      </c>
      <c r="N34" s="280"/>
      <c r="O34" s="278">
        <f>O35+O36</f>
        <v>631628200</v>
      </c>
      <c r="P34" s="281">
        <f t="shared" si="17"/>
        <v>0</v>
      </c>
      <c r="Q34" s="453">
        <v>0</v>
      </c>
      <c r="R34" s="454">
        <f>R35+R36</f>
        <v>4.4319307413134897E-2</v>
      </c>
      <c r="S34" s="23">
        <f>SUM(S35:S36)</f>
        <v>9372838</v>
      </c>
      <c r="T34" s="281">
        <f>T35+T36</f>
        <v>0.43885793733263562</v>
      </c>
      <c r="U34" s="281">
        <f>SUM(U35:U36)</f>
        <v>148826048</v>
      </c>
      <c r="V34" s="281">
        <f>V35+V36</f>
        <v>1.48</v>
      </c>
      <c r="W34" s="281">
        <f t="shared" ref="W34" si="49">SUM(W35:W36)</f>
        <v>277572600</v>
      </c>
      <c r="X34" s="281"/>
      <c r="Y34" s="281">
        <f t="shared" si="38"/>
        <v>435771486</v>
      </c>
      <c r="Z34" s="348"/>
      <c r="AA34" s="348">
        <f t="shared" si="39"/>
        <v>0.68991771741667007</v>
      </c>
      <c r="AB34" s="349">
        <f t="shared" si="40"/>
        <v>0</v>
      </c>
      <c r="AC34" s="350">
        <f t="shared" si="41"/>
        <v>435771486</v>
      </c>
      <c r="AD34" s="351">
        <f t="shared" ref="AD34:AD39" si="50">IFERROR(AB34/G34,0)</f>
        <v>0</v>
      </c>
      <c r="AE34" s="348">
        <f t="shared" si="42"/>
        <v>0.37566507413793104</v>
      </c>
      <c r="AF34" s="502"/>
      <c r="AG34" s="396"/>
    </row>
    <row r="35" spans="1:33" s="1" customFormat="1" ht="71.45" customHeight="1">
      <c r="A35" s="407" t="s">
        <v>106</v>
      </c>
      <c r="B35" s="218"/>
      <c r="C35" s="218"/>
      <c r="D35" s="405" t="s">
        <v>107</v>
      </c>
      <c r="E35" s="36" t="s">
        <v>108</v>
      </c>
      <c r="F35" s="36" t="s">
        <v>109</v>
      </c>
      <c r="G35" s="30">
        <v>1</v>
      </c>
      <c r="H35" s="31" t="s">
        <v>81</v>
      </c>
      <c r="I35" s="75">
        <v>180000000</v>
      </c>
      <c r="J35" s="30"/>
      <c r="K35" s="31"/>
      <c r="L35" s="28"/>
      <c r="M35" s="71">
        <v>1</v>
      </c>
      <c r="N35" s="72"/>
      <c r="O35" s="73">
        <v>120582700</v>
      </c>
      <c r="P35" s="426">
        <f t="shared" si="17"/>
        <v>0</v>
      </c>
      <c r="Q35" s="109">
        <v>0</v>
      </c>
      <c r="R35" s="428">
        <f t="shared" si="19"/>
        <v>3.4001560754569268E-2</v>
      </c>
      <c r="S35" s="117">
        <v>4100000</v>
      </c>
      <c r="T35" s="421">
        <f>+U35/O35</f>
        <v>0.18885793733263562</v>
      </c>
      <c r="U35" s="422">
        <v>22773000</v>
      </c>
      <c r="V35" s="424">
        <v>0.76</v>
      </c>
      <c r="W35" s="422">
        <v>8592000</v>
      </c>
      <c r="X35" s="333">
        <f t="shared" si="38"/>
        <v>0.98285949808720496</v>
      </c>
      <c r="Y35" s="333">
        <f t="shared" si="38"/>
        <v>35465000</v>
      </c>
      <c r="Z35" s="361">
        <f t="shared" ref="Z35:Z36" si="51">IFERROR(X35/M35,0)</f>
        <v>0.98285949808720496</v>
      </c>
      <c r="AA35" s="361">
        <f t="shared" si="39"/>
        <v>0.29411350052702417</v>
      </c>
      <c r="AB35" s="362">
        <f t="shared" si="40"/>
        <v>0.98285949808720496</v>
      </c>
      <c r="AC35" s="288">
        <f t="shared" si="41"/>
        <v>35465000</v>
      </c>
      <c r="AD35" s="363">
        <f t="shared" si="50"/>
        <v>0.98285949808720496</v>
      </c>
      <c r="AE35" s="361">
        <f t="shared" si="42"/>
        <v>0.19702777777777777</v>
      </c>
      <c r="AF35" s="502"/>
      <c r="AG35" s="395"/>
    </row>
    <row r="36" spans="1:33" s="1" customFormat="1" ht="63" customHeight="1">
      <c r="A36" s="407" t="s">
        <v>110</v>
      </c>
      <c r="B36" s="218"/>
      <c r="C36" s="218"/>
      <c r="D36" s="405" t="s">
        <v>111</v>
      </c>
      <c r="E36" s="36" t="s">
        <v>112</v>
      </c>
      <c r="F36" s="36" t="s">
        <v>113</v>
      </c>
      <c r="G36" s="30">
        <v>2</v>
      </c>
      <c r="H36" s="31" t="s">
        <v>81</v>
      </c>
      <c r="I36" s="75">
        <v>980000000</v>
      </c>
      <c r="J36" s="30"/>
      <c r="K36" s="31"/>
      <c r="L36" s="28"/>
      <c r="M36" s="71">
        <v>1</v>
      </c>
      <c r="N36" s="72"/>
      <c r="O36" s="73">
        <v>511045500</v>
      </c>
      <c r="P36" s="424">
        <f t="shared" si="17"/>
        <v>0</v>
      </c>
      <c r="Q36" s="109">
        <v>0</v>
      </c>
      <c r="R36" s="428">
        <f t="shared" si="19"/>
        <v>1.0317746658565627E-2</v>
      </c>
      <c r="S36" s="117">
        <f>5272838</f>
        <v>5272838</v>
      </c>
      <c r="T36" s="421">
        <v>0.25</v>
      </c>
      <c r="U36" s="422">
        <v>126053048</v>
      </c>
      <c r="V36" s="424">
        <v>0.72</v>
      </c>
      <c r="W36" s="422">
        <v>268980600</v>
      </c>
      <c r="X36" s="333">
        <f t="shared" si="38"/>
        <v>0.98031774665856553</v>
      </c>
      <c r="Y36" s="333">
        <f t="shared" si="38"/>
        <v>400306486</v>
      </c>
      <c r="Z36" s="361">
        <f t="shared" si="51"/>
        <v>0.98031774665856553</v>
      </c>
      <c r="AA36" s="361">
        <f t="shared" si="39"/>
        <v>0.78330889519622027</v>
      </c>
      <c r="AB36" s="362">
        <f t="shared" si="40"/>
        <v>0.98031774665856553</v>
      </c>
      <c r="AC36" s="288">
        <f t="shared" si="41"/>
        <v>400306486</v>
      </c>
      <c r="AD36" s="363">
        <f t="shared" si="50"/>
        <v>0.49015887332928276</v>
      </c>
      <c r="AE36" s="361">
        <f t="shared" si="42"/>
        <v>0.408476006122449</v>
      </c>
      <c r="AF36" s="502"/>
      <c r="AG36" s="395"/>
    </row>
    <row r="37" spans="1:33" s="1" customFormat="1" ht="43.9" customHeight="1">
      <c r="A37" s="230">
        <v>6</v>
      </c>
      <c r="B37" s="230"/>
      <c r="C37" s="211"/>
      <c r="D37" s="223"/>
      <c r="E37" s="24" t="s">
        <v>114</v>
      </c>
      <c r="F37" s="32" t="s">
        <v>115</v>
      </c>
      <c r="G37" s="461">
        <f>G38+G39</f>
        <v>6</v>
      </c>
      <c r="H37" s="26"/>
      <c r="I37" s="278">
        <f>0+I39+I38</f>
        <v>940000000</v>
      </c>
      <c r="J37" s="25"/>
      <c r="K37" s="26"/>
      <c r="L37" s="278">
        <f>0+L39+L38</f>
        <v>182452608</v>
      </c>
      <c r="M37" s="284">
        <f>SUM(M38:M39)</f>
        <v>1</v>
      </c>
      <c r="N37" s="280"/>
      <c r="O37" s="278">
        <f>0+O39+O38</f>
        <v>100991780</v>
      </c>
      <c r="P37" s="281">
        <f t="shared" si="17"/>
        <v>0</v>
      </c>
      <c r="Q37" s="453">
        <f>Q39+Q38</f>
        <v>0</v>
      </c>
      <c r="R37" s="457">
        <f t="shared" si="19"/>
        <v>0.23631759931352828</v>
      </c>
      <c r="S37" s="113">
        <f>S39+S38</f>
        <v>23866135</v>
      </c>
      <c r="T37" s="281">
        <f>+U37/O37</f>
        <v>0.28709019684572351</v>
      </c>
      <c r="U37" s="281">
        <f>SUM(U38:U39)</f>
        <v>28993750</v>
      </c>
      <c r="V37" s="281">
        <f>SUM(V38:V39)</f>
        <v>0.45</v>
      </c>
      <c r="W37" s="281">
        <f>SUM(W38:W39)</f>
        <v>19023913</v>
      </c>
      <c r="X37" s="281"/>
      <c r="Y37" s="281">
        <f>SUM(Y38:Y39)</f>
        <v>71883798</v>
      </c>
      <c r="Z37" s="281"/>
      <c r="AA37" s="281">
        <f>SUM(AA38:AA39)</f>
        <v>0.71177870119726572</v>
      </c>
      <c r="AB37" s="281">
        <f>SUM(AB38:AB39)</f>
        <v>1.9734077961592518</v>
      </c>
      <c r="AC37" s="281">
        <f>SUM(AC38:AC39)</f>
        <v>221902406</v>
      </c>
      <c r="AD37" s="355">
        <f>AD38</f>
        <v>0.65780259871975055</v>
      </c>
      <c r="AE37" s="353">
        <f t="shared" si="42"/>
        <v>0.23606638936170213</v>
      </c>
      <c r="AF37" s="502"/>
      <c r="AG37" s="396"/>
    </row>
    <row r="38" spans="1:33" s="1" customFormat="1" ht="78.599999999999994" customHeight="1">
      <c r="A38" s="407" t="s">
        <v>116</v>
      </c>
      <c r="B38" s="213"/>
      <c r="C38" s="213"/>
      <c r="D38" s="405" t="s">
        <v>117</v>
      </c>
      <c r="E38" s="39" t="s">
        <v>118</v>
      </c>
      <c r="F38" s="36" t="s">
        <v>119</v>
      </c>
      <c r="G38" s="30">
        <v>3</v>
      </c>
      <c r="H38" s="31" t="s">
        <v>81</v>
      </c>
      <c r="I38" s="75">
        <v>500000000</v>
      </c>
      <c r="J38" s="30">
        <v>1</v>
      </c>
      <c r="K38" s="31"/>
      <c r="L38" s="79">
        <v>150018608</v>
      </c>
      <c r="M38" s="71">
        <v>1</v>
      </c>
      <c r="N38" s="72"/>
      <c r="O38" s="458">
        <v>100991780</v>
      </c>
      <c r="P38" s="424">
        <f t="shared" ref="P38" si="52">+Q38/O38</f>
        <v>0</v>
      </c>
      <c r="Q38" s="109">
        <v>0</v>
      </c>
      <c r="R38" s="424">
        <f t="shared" ref="R38" si="53">+S38/O38</f>
        <v>0.23631759931352828</v>
      </c>
      <c r="S38" s="114">
        <v>23866135</v>
      </c>
      <c r="T38" s="423">
        <f>+U38/O38</f>
        <v>0.28709019684572351</v>
      </c>
      <c r="U38" s="422">
        <v>28993750</v>
      </c>
      <c r="V38" s="424">
        <v>0.45</v>
      </c>
      <c r="W38" s="422">
        <v>19023913</v>
      </c>
      <c r="X38" s="333">
        <f t="shared" ref="X38" si="54">SUM(P38,R38,T38,V38)</f>
        <v>0.97340779615925177</v>
      </c>
      <c r="Y38" s="333">
        <f t="shared" ref="Y38:Y39" si="55">SUM(Q38,S38,U38,W38)</f>
        <v>71883798</v>
      </c>
      <c r="Z38" s="361">
        <f t="shared" ref="Z38:Z39" si="56">IFERROR(X38/M38,0)</f>
        <v>0.97340779615925177</v>
      </c>
      <c r="AA38" s="361">
        <f t="shared" ref="AA38" si="57">IFERROR(Y38/O38,0)</f>
        <v>0.71177870119726572</v>
      </c>
      <c r="AB38" s="362">
        <f t="shared" ref="AB38" si="58">SUM(J38,X38)</f>
        <v>1.9734077961592518</v>
      </c>
      <c r="AC38" s="288">
        <f t="shared" ref="AC38" si="59">SUM(L38,Y38)</f>
        <v>221902406</v>
      </c>
      <c r="AD38" s="363">
        <f t="shared" ref="AD38" si="60">IFERROR(AB38/G38,0)</f>
        <v>0.65780259871975055</v>
      </c>
      <c r="AE38" s="361">
        <f t="shared" ref="AE38" si="61">IFERROR(AC38/I38,0)</f>
        <v>0.44380481199999999</v>
      </c>
      <c r="AF38" s="502"/>
      <c r="AG38" s="397"/>
    </row>
    <row r="39" spans="1:33" s="1" customFormat="1" ht="69" customHeight="1">
      <c r="A39" s="407" t="s">
        <v>120</v>
      </c>
      <c r="B39" s="218"/>
      <c r="C39" s="218"/>
      <c r="D39" s="40" t="s">
        <v>121</v>
      </c>
      <c r="E39" s="41" t="s">
        <v>122</v>
      </c>
      <c r="F39" s="41" t="s">
        <v>123</v>
      </c>
      <c r="G39" s="42">
        <v>3</v>
      </c>
      <c r="H39" s="31" t="s">
        <v>81</v>
      </c>
      <c r="I39" s="80">
        <v>440000000</v>
      </c>
      <c r="J39" s="30">
        <v>1</v>
      </c>
      <c r="K39" s="31"/>
      <c r="L39" s="80">
        <v>32434000</v>
      </c>
      <c r="M39" s="71">
        <v>0</v>
      </c>
      <c r="N39" s="72"/>
      <c r="O39" s="458">
        <v>0</v>
      </c>
      <c r="P39" s="456">
        <v>0</v>
      </c>
      <c r="Q39" s="109">
        <v>0</v>
      </c>
      <c r="R39" s="429">
        <v>0</v>
      </c>
      <c r="S39" s="114">
        <v>0</v>
      </c>
      <c r="T39" s="430"/>
      <c r="U39" s="425">
        <v>0</v>
      </c>
      <c r="V39" s="430"/>
      <c r="W39" s="430"/>
      <c r="X39" s="112">
        <f t="shared" ref="X39" si="62">+P39+R39+T39+V39</f>
        <v>0</v>
      </c>
      <c r="Y39" s="145">
        <f t="shared" si="55"/>
        <v>0</v>
      </c>
      <c r="Z39" s="361">
        <f t="shared" si="56"/>
        <v>0</v>
      </c>
      <c r="AA39" s="147">
        <v>0</v>
      </c>
      <c r="AB39" s="148">
        <f t="shared" ref="AB39" si="63">IFERROR(X39/J39,0)</f>
        <v>0</v>
      </c>
      <c r="AC39" s="149">
        <f t="shared" ref="AC39" si="64">IFERROR(AA39/I39,0)</f>
        <v>0</v>
      </c>
      <c r="AD39" s="363">
        <f t="shared" si="50"/>
        <v>0</v>
      </c>
      <c r="AE39" s="361">
        <f t="shared" si="42"/>
        <v>0</v>
      </c>
      <c r="AF39" s="502"/>
      <c r="AG39" s="395"/>
    </row>
    <row r="40" spans="1:33" s="2" customFormat="1" ht="25.15" customHeight="1">
      <c r="A40" s="231"/>
      <c r="B40" s="231"/>
      <c r="C40" s="231"/>
      <c r="D40" s="232"/>
      <c r="E40" s="233"/>
      <c r="F40" s="233"/>
      <c r="G40" s="234"/>
      <c r="H40" s="235"/>
      <c r="I40" s="289"/>
      <c r="J40" s="234"/>
      <c r="K40" s="235"/>
      <c r="L40" s="289"/>
      <c r="M40" s="234"/>
      <c r="N40" s="235"/>
      <c r="O40" s="290"/>
      <c r="P40" s="480" t="s">
        <v>124</v>
      </c>
      <c r="Q40" s="480"/>
      <c r="R40" s="480"/>
      <c r="S40" s="480"/>
      <c r="T40" s="480"/>
      <c r="U40" s="480"/>
      <c r="V40" s="480"/>
      <c r="W40" s="480"/>
      <c r="X40" s="480"/>
      <c r="Y40" s="480"/>
      <c r="Z40" s="364">
        <f>SUMPRODUCT(Z12:Z39,O12:O39)/O42</f>
        <v>0.97756895863002946</v>
      </c>
      <c r="AA40" s="91">
        <f>IFERROR(Y42/O42,0)</f>
        <v>0.8355452478798695</v>
      </c>
      <c r="AB40" s="291"/>
      <c r="AC40" s="365"/>
      <c r="AD40" s="366"/>
      <c r="AE40" s="365"/>
      <c r="AF40" s="39"/>
      <c r="AG40" s="398"/>
    </row>
    <row r="41" spans="1:33" s="2" customFormat="1" ht="28.9" customHeight="1">
      <c r="A41" s="236"/>
      <c r="B41" s="236"/>
      <c r="C41" s="236"/>
      <c r="D41" s="237"/>
      <c r="E41" s="238"/>
      <c r="F41" s="238"/>
      <c r="G41" s="239"/>
      <c r="H41" s="240"/>
      <c r="I41" s="292"/>
      <c r="J41" s="239"/>
      <c r="K41" s="240"/>
      <c r="L41" s="292"/>
      <c r="M41" s="293"/>
      <c r="N41" s="294"/>
      <c r="O41" s="290"/>
      <c r="P41" s="481" t="s">
        <v>125</v>
      </c>
      <c r="Q41" s="481"/>
      <c r="R41" s="481"/>
      <c r="S41" s="481"/>
      <c r="T41" s="481"/>
      <c r="U41" s="481"/>
      <c r="V41" s="481"/>
      <c r="W41" s="481"/>
      <c r="X41" s="481"/>
      <c r="Y41" s="481"/>
      <c r="Z41" s="91" t="str">
        <f>IF(Z40&gt;0.9,"Sangat Tinggi",IF(Z40&gt;0.75,"Tinggi",IF(Z40&gt;0.65,"Sedang",IF(Z40&gt;0.5,"Rendah","Sangat Rendah"))))</f>
        <v>Sangat Tinggi</v>
      </c>
      <c r="AA41" s="91" t="str">
        <f>IF(AA40&gt;0.9,"Sangat Tinggi",IF(AA40&gt;0.75,"Tinggi",IF(AA40&gt;0.65,"Sedang",IF(AA40&gt;0.5,"Rendah","Sangat Rendah"))))</f>
        <v>Tinggi</v>
      </c>
      <c r="AB41" s="291"/>
      <c r="AC41" s="365"/>
      <c r="AD41" s="366"/>
      <c r="AE41" s="365"/>
      <c r="AF41" s="367"/>
      <c r="AG41" s="399"/>
    </row>
    <row r="42" spans="1:33" s="2" customFormat="1" ht="25.15" customHeight="1">
      <c r="A42" s="488" t="s">
        <v>126</v>
      </c>
      <c r="B42" s="489"/>
      <c r="C42" s="489"/>
      <c r="D42" s="489"/>
      <c r="E42" s="489"/>
      <c r="F42" s="489"/>
      <c r="G42" s="489"/>
      <c r="H42" s="490"/>
      <c r="I42" s="295">
        <f>+I11+I31</f>
        <v>4148543437</v>
      </c>
      <c r="J42" s="88"/>
      <c r="K42" s="89"/>
      <c r="L42" s="295">
        <f>+L13+L30</f>
        <v>0</v>
      </c>
      <c r="M42" s="92"/>
      <c r="N42" s="93"/>
      <c r="O42" s="295">
        <f>+O11+O31</f>
        <v>2878189550</v>
      </c>
      <c r="P42" s="491" t="s">
        <v>127</v>
      </c>
      <c r="Q42" s="491"/>
      <c r="R42" s="491"/>
      <c r="S42" s="491"/>
      <c r="T42" s="491"/>
      <c r="U42" s="491"/>
      <c r="V42" s="491"/>
      <c r="W42" s="491"/>
      <c r="X42" s="491"/>
      <c r="Y42" s="295">
        <f>+Y11+Y31</f>
        <v>2404857601</v>
      </c>
      <c r="Z42" s="368">
        <f>+(0+Z40*O42)/O42</f>
        <v>0.97756895863002946</v>
      </c>
      <c r="AA42" s="369">
        <f>(0+Y42)/O42</f>
        <v>0.8355452478798695</v>
      </c>
      <c r="AB42" s="166"/>
      <c r="AC42" s="295">
        <f>+AC11+AC31</f>
        <v>2648453386</v>
      </c>
      <c r="AD42" s="370"/>
      <c r="AE42" s="371"/>
      <c r="AF42" s="39"/>
      <c r="AG42" s="39"/>
    </row>
    <row r="43" spans="1:33" s="2" customFormat="1" ht="27" customHeight="1">
      <c r="A43" s="241"/>
      <c r="B43" s="242"/>
      <c r="C43" s="242"/>
      <c r="D43" s="242"/>
      <c r="E43" s="243"/>
      <c r="F43" s="243"/>
      <c r="G43" s="244"/>
      <c r="H43" s="243"/>
      <c r="I43" s="296"/>
      <c r="J43" s="244"/>
      <c r="K43" s="243"/>
      <c r="L43" s="296"/>
      <c r="M43" s="492"/>
      <c r="N43" s="492"/>
      <c r="O43" s="297"/>
      <c r="P43" s="491" t="s">
        <v>128</v>
      </c>
      <c r="Q43" s="491"/>
      <c r="R43" s="491"/>
      <c r="S43" s="491"/>
      <c r="T43" s="491"/>
      <c r="U43" s="491"/>
      <c r="V43" s="491"/>
      <c r="W43" s="491"/>
      <c r="X43" s="491"/>
      <c r="Y43" s="491"/>
      <c r="Z43" s="372" t="str">
        <f>IF(Z42&gt;0.9,"Sangat Tinggi",IF(Z42&gt;0.75,"Tinggi",IF(Z42&gt;0.65,"Sedang",IF(Z42&gt;0.5,"Rendah","Sangat Rendah"))))</f>
        <v>Sangat Tinggi</v>
      </c>
      <c r="AA43" s="372" t="str">
        <f>IF(AA42&gt;0.9,"Sangat Tinggi",IF(AA42&gt;0.75,"Tinggi",IF(AA42&gt;0.65,"Sedang",IF(AA42&gt;0.5,"Rendah","Sangat Rendah"))))</f>
        <v>Tinggi</v>
      </c>
      <c r="AB43" s="166"/>
      <c r="AC43" s="94"/>
      <c r="AD43" s="373"/>
      <c r="AE43" s="94"/>
      <c r="AF43" s="374"/>
      <c r="AG43" s="39"/>
    </row>
    <row r="44" spans="1:33" s="2" customFormat="1" ht="20.45" customHeight="1">
      <c r="A44" s="245" t="s">
        <v>129</v>
      </c>
      <c r="B44" s="246"/>
      <c r="C44" s="246"/>
      <c r="D44" s="246"/>
      <c r="E44" s="408" t="s">
        <v>130</v>
      </c>
      <c r="F44" s="246"/>
      <c r="G44" s="247"/>
      <c r="H44" s="247"/>
      <c r="I44" s="247"/>
      <c r="J44" s="246"/>
      <c r="K44" s="246"/>
      <c r="L44" s="298"/>
      <c r="M44" s="299"/>
      <c r="N44" s="247"/>
      <c r="O44" s="300"/>
      <c r="P44" s="301"/>
      <c r="Q44" s="301"/>
      <c r="R44" s="301"/>
      <c r="S44" s="301"/>
      <c r="T44" s="301"/>
      <c r="U44" s="301"/>
      <c r="V44" s="301"/>
      <c r="W44" s="301"/>
      <c r="X44" s="301"/>
      <c r="Y44" s="375"/>
      <c r="Z44" s="376"/>
      <c r="AA44" s="376"/>
      <c r="AB44" s="247"/>
      <c r="AC44" s="247"/>
      <c r="AD44" s="299"/>
      <c r="AE44" s="299"/>
      <c r="AF44" s="247"/>
      <c r="AG44" s="400"/>
    </row>
    <row r="45" spans="1:33" s="2" customFormat="1" ht="19.149999999999999" customHeight="1">
      <c r="A45" s="248" t="s">
        <v>131</v>
      </c>
      <c r="B45" s="249"/>
      <c r="C45" s="249"/>
      <c r="D45" s="249"/>
      <c r="E45" s="478" t="s">
        <v>211</v>
      </c>
      <c r="F45" s="249"/>
      <c r="G45" s="250"/>
      <c r="H45" s="250"/>
      <c r="I45" s="250"/>
      <c r="J45" s="308"/>
      <c r="K45" s="308"/>
      <c r="L45" s="309"/>
      <c r="M45" s="310"/>
      <c r="N45" s="311"/>
      <c r="O45" s="312"/>
      <c r="P45" s="313"/>
      <c r="Q45" s="313"/>
      <c r="R45" s="313"/>
      <c r="S45" s="313"/>
      <c r="T45" s="313"/>
      <c r="U45" s="313"/>
      <c r="V45" s="313"/>
      <c r="W45" s="493"/>
      <c r="X45" s="493"/>
      <c r="Y45" s="380"/>
      <c r="Z45" s="381"/>
      <c r="AA45" s="382"/>
      <c r="AB45" s="311"/>
      <c r="AC45" s="311"/>
      <c r="AD45" s="383"/>
      <c r="AE45" s="383"/>
      <c r="AF45" s="250"/>
      <c r="AG45" s="401"/>
    </row>
    <row r="46" spans="1:33" s="2" customFormat="1" ht="19.149999999999999" customHeight="1">
      <c r="A46" s="462"/>
      <c r="B46" s="463"/>
      <c r="C46" s="463"/>
      <c r="D46" s="463"/>
      <c r="E46" s="477" t="s">
        <v>210</v>
      </c>
      <c r="F46" s="463"/>
      <c r="G46" s="464"/>
      <c r="H46" s="464"/>
      <c r="I46" s="464"/>
      <c r="J46" s="465"/>
      <c r="K46" s="465"/>
      <c r="L46" s="466"/>
      <c r="M46" s="467"/>
      <c r="N46" s="468"/>
      <c r="O46" s="469"/>
      <c r="P46" s="470"/>
      <c r="Q46" s="470"/>
      <c r="R46" s="470"/>
      <c r="S46" s="470"/>
      <c r="T46" s="470"/>
      <c r="U46" s="470"/>
      <c r="V46" s="470"/>
      <c r="W46" s="471"/>
      <c r="X46" s="471"/>
      <c r="Y46" s="472"/>
      <c r="Z46" s="473"/>
      <c r="AA46" s="474"/>
      <c r="AB46" s="468"/>
      <c r="AC46" s="468"/>
      <c r="AD46" s="475"/>
      <c r="AE46" s="475"/>
      <c r="AF46" s="464"/>
      <c r="AG46" s="476"/>
    </row>
    <row r="47" spans="1:33" ht="19.899999999999999" customHeight="1">
      <c r="A47" s="245" t="s">
        <v>133</v>
      </c>
      <c r="B47" s="246"/>
      <c r="C47" s="246"/>
      <c r="D47" s="246"/>
      <c r="E47" s="408" t="s">
        <v>134</v>
      </c>
      <c r="F47" s="246"/>
      <c r="G47" s="247"/>
      <c r="H47" s="247"/>
      <c r="I47" s="247"/>
      <c r="J47" s="302"/>
      <c r="K47" s="302"/>
      <c r="L47" s="303"/>
      <c r="M47" s="304"/>
      <c r="N47" s="305"/>
      <c r="O47" s="306"/>
      <c r="P47" s="307"/>
      <c r="Q47" s="307"/>
      <c r="R47" s="307"/>
      <c r="S47" s="307"/>
      <c r="T47" s="307"/>
      <c r="U47" s="307"/>
      <c r="V47" s="307"/>
      <c r="W47" s="243"/>
      <c r="X47" s="243"/>
      <c r="Y47" s="377"/>
      <c r="Z47" s="378"/>
      <c r="AA47" s="379"/>
      <c r="AB47" s="305"/>
      <c r="AC47" s="305"/>
      <c r="AD47" s="299"/>
      <c r="AE47" s="299"/>
      <c r="AF47" s="247"/>
      <c r="AG47" s="400"/>
    </row>
    <row r="48" spans="1:33" ht="21" customHeight="1">
      <c r="A48" s="248" t="s">
        <v>135</v>
      </c>
      <c r="B48" s="249"/>
      <c r="C48" s="249"/>
      <c r="D48" s="249"/>
      <c r="E48" s="409" t="s">
        <v>136</v>
      </c>
      <c r="F48" s="249"/>
      <c r="G48" s="250"/>
      <c r="H48" s="250"/>
      <c r="I48" s="250"/>
      <c r="J48" s="308"/>
      <c r="K48" s="308"/>
      <c r="L48" s="309"/>
      <c r="M48" s="310"/>
      <c r="N48" s="311"/>
      <c r="O48" s="312"/>
      <c r="P48" s="313"/>
      <c r="Q48" s="313"/>
      <c r="R48" s="313"/>
      <c r="S48" s="313"/>
      <c r="T48" s="313"/>
      <c r="U48" s="313"/>
      <c r="V48" s="313"/>
      <c r="W48" s="337"/>
      <c r="X48" s="337"/>
      <c r="Y48" s="380"/>
      <c r="Z48" s="381"/>
      <c r="AA48" s="382"/>
      <c r="AB48" s="311"/>
      <c r="AC48" s="311"/>
      <c r="AD48" s="383"/>
      <c r="AE48" s="383"/>
      <c r="AF48" s="250"/>
      <c r="AG48" s="401"/>
    </row>
    <row r="49" spans="1:33" ht="12" customHeight="1">
      <c r="A49" s="251"/>
      <c r="B49" s="251"/>
      <c r="C49" s="251"/>
      <c r="D49" s="251"/>
      <c r="E49" s="252" t="s">
        <v>137</v>
      </c>
      <c r="F49" s="251"/>
      <c r="G49" s="253"/>
      <c r="H49" s="254"/>
      <c r="I49" s="253"/>
      <c r="J49" s="253"/>
      <c r="K49" s="254"/>
      <c r="L49" s="253"/>
      <c r="M49" s="253"/>
      <c r="N49" s="254"/>
      <c r="O49" s="314"/>
      <c r="P49" s="315"/>
      <c r="Q49" s="338"/>
      <c r="R49" s="315"/>
      <c r="S49" s="315"/>
      <c r="T49" s="315"/>
      <c r="U49" s="315"/>
      <c r="V49" s="315"/>
      <c r="W49" s="315"/>
      <c r="X49" s="315"/>
      <c r="Y49" s="315"/>
      <c r="Z49" s="384"/>
      <c r="AA49" s="384"/>
      <c r="AB49" s="385"/>
      <c r="AC49" s="385"/>
      <c r="AD49" s="253"/>
      <c r="AE49" s="385"/>
      <c r="AF49" s="385"/>
      <c r="AG49" s="402"/>
    </row>
    <row r="50" spans="1:33" ht="19.899999999999999" customHeight="1">
      <c r="A50" s="255"/>
      <c r="B50" s="255"/>
      <c r="C50" s="255"/>
      <c r="D50" s="255"/>
      <c r="E50" s="255"/>
      <c r="F50" s="255"/>
      <c r="G50" s="256"/>
      <c r="H50" s="257"/>
      <c r="I50" s="256"/>
      <c r="J50" s="256"/>
      <c r="K50" s="257"/>
      <c r="L50" s="256"/>
      <c r="M50" s="256"/>
      <c r="N50" s="257"/>
      <c r="O50" s="316"/>
      <c r="P50" s="317"/>
      <c r="Q50" s="339"/>
      <c r="R50" s="317"/>
      <c r="S50" s="317"/>
      <c r="T50" s="317"/>
      <c r="U50" s="317"/>
      <c r="V50" s="317"/>
      <c r="W50" s="317"/>
      <c r="X50" s="340"/>
      <c r="Y50" s="340"/>
      <c r="Z50" s="386"/>
      <c r="AA50" s="386"/>
      <c r="AB50" s="130"/>
      <c r="AC50" s="130"/>
      <c r="AD50" s="256"/>
      <c r="AE50" s="130"/>
      <c r="AF50" s="130"/>
      <c r="AG50" s="403"/>
    </row>
    <row r="51" spans="1:33" ht="19.899999999999999" customHeight="1">
      <c r="A51" s="258" t="s">
        <v>138</v>
      </c>
      <c r="B51" s="258" t="s">
        <v>139</v>
      </c>
      <c r="C51" s="258"/>
      <c r="D51" s="258" t="s">
        <v>140</v>
      </c>
      <c r="E51" s="259"/>
      <c r="F51" s="260"/>
      <c r="I51" s="193"/>
      <c r="L51" s="193"/>
      <c r="O51" s="318"/>
      <c r="Q51" s="341"/>
      <c r="S51" s="3"/>
      <c r="V51" s="132"/>
      <c r="W51" s="260"/>
      <c r="X51" s="342"/>
      <c r="Y51" s="387"/>
      <c r="Z51" s="342"/>
      <c r="AA51" s="342"/>
      <c r="AC51" s="495" t="s">
        <v>212</v>
      </c>
      <c r="AD51" s="495"/>
      <c r="AE51" s="495"/>
      <c r="AF51" s="495"/>
      <c r="AG51" s="495"/>
    </row>
    <row r="52" spans="1:33" ht="19.899999999999999" customHeight="1">
      <c r="A52" s="261" t="s">
        <v>141</v>
      </c>
      <c r="B52" s="261" t="s">
        <v>142</v>
      </c>
      <c r="C52" s="261"/>
      <c r="D52" s="261" t="s">
        <v>143</v>
      </c>
      <c r="E52" s="262"/>
      <c r="I52" s="319"/>
      <c r="L52" s="193"/>
      <c r="O52" s="320"/>
      <c r="Q52" s="320"/>
      <c r="V52" s="132"/>
      <c r="X52" s="343" t="s">
        <v>144</v>
      </c>
      <c r="Y52" s="388"/>
      <c r="Z52" s="389">
        <f>SUMPRODUCT(Z14:Z39,O14:O39)/O42</f>
        <v>0.42963799626516369</v>
      </c>
      <c r="AA52" s="343"/>
      <c r="AC52" s="495" t="s">
        <v>145</v>
      </c>
      <c r="AD52" s="495"/>
      <c r="AE52" s="495"/>
      <c r="AF52" s="495"/>
      <c r="AG52" s="495"/>
    </row>
    <row r="53" spans="1:33" ht="19.899999999999999" customHeight="1">
      <c r="A53" s="261" t="s">
        <v>146</v>
      </c>
      <c r="B53" s="261" t="s">
        <v>147</v>
      </c>
      <c r="C53" s="261"/>
      <c r="D53" s="261" t="s">
        <v>148</v>
      </c>
      <c r="E53" s="262"/>
      <c r="I53" s="321"/>
      <c r="L53" s="193"/>
      <c r="O53" s="320"/>
      <c r="Q53" s="320"/>
      <c r="V53" s="132"/>
      <c r="X53" s="342"/>
      <c r="Y53" s="390"/>
      <c r="Z53" s="342"/>
      <c r="AA53" s="342"/>
      <c r="AC53" s="495"/>
      <c r="AD53" s="495"/>
      <c r="AE53" s="495"/>
      <c r="AF53" s="495"/>
      <c r="AG53" s="495"/>
    </row>
    <row r="54" spans="1:33" ht="19.899999999999999" customHeight="1">
      <c r="A54" s="261" t="s">
        <v>149</v>
      </c>
      <c r="B54" s="261" t="s">
        <v>150</v>
      </c>
      <c r="C54" s="261"/>
      <c r="D54" s="261" t="s">
        <v>151</v>
      </c>
      <c r="E54" s="262"/>
      <c r="I54" s="193"/>
      <c r="L54" s="193"/>
      <c r="O54" s="320"/>
      <c r="Q54" s="320"/>
      <c r="V54" s="132"/>
      <c r="X54" s="342"/>
      <c r="Y54" s="391"/>
      <c r="Z54" s="342"/>
      <c r="AA54" s="342"/>
      <c r="AD54" s="3"/>
      <c r="AE54" s="132"/>
      <c r="AF54" s="3"/>
    </row>
    <row r="55" spans="1:33" ht="19.899999999999999" customHeight="1">
      <c r="A55" s="261" t="s">
        <v>152</v>
      </c>
      <c r="B55" s="261" t="s">
        <v>153</v>
      </c>
      <c r="C55" s="261"/>
      <c r="D55" s="261" t="s">
        <v>154</v>
      </c>
      <c r="E55" s="262"/>
      <c r="I55" s="193"/>
      <c r="O55" s="320"/>
      <c r="Q55" s="320"/>
      <c r="V55" s="132"/>
      <c r="X55" s="342"/>
      <c r="Y55" s="342"/>
      <c r="Z55" s="342"/>
      <c r="AA55" s="342"/>
      <c r="AD55" s="3"/>
      <c r="AE55" s="132"/>
      <c r="AF55" s="3"/>
    </row>
    <row r="56" spans="1:33" ht="19.899999999999999" customHeight="1">
      <c r="A56" s="261" t="s">
        <v>155</v>
      </c>
      <c r="B56" s="261" t="s">
        <v>156</v>
      </c>
      <c r="C56" s="261"/>
      <c r="D56" s="261" t="s">
        <v>157</v>
      </c>
      <c r="E56" s="262"/>
      <c r="I56" s="193"/>
      <c r="O56" s="320"/>
      <c r="Q56" s="320"/>
      <c r="V56" s="132"/>
      <c r="X56" s="342"/>
      <c r="Y56" s="342"/>
      <c r="Z56" s="342"/>
      <c r="AA56" s="342"/>
      <c r="AC56" s="495" t="s">
        <v>158</v>
      </c>
      <c r="AD56" s="495"/>
      <c r="AE56" s="495"/>
      <c r="AF56" s="495"/>
      <c r="AG56" s="495"/>
    </row>
    <row r="57" spans="1:33" ht="19.899999999999999" customHeight="1">
      <c r="A57" s="263"/>
      <c r="B57" s="263"/>
      <c r="C57" s="263"/>
      <c r="D57" s="263"/>
      <c r="E57" s="264"/>
      <c r="I57" s="193"/>
      <c r="O57" s="320"/>
      <c r="Q57" s="320"/>
      <c r="V57" s="132"/>
      <c r="X57" s="342"/>
      <c r="Y57" s="342"/>
      <c r="Z57" s="342"/>
      <c r="AA57" s="342"/>
      <c r="AD57" s="3"/>
      <c r="AE57" s="132"/>
      <c r="AF57" s="3"/>
    </row>
    <row r="58" spans="1:33" ht="19.899999999999999" customHeight="1">
      <c r="A58" s="264"/>
      <c r="B58" s="264"/>
      <c r="C58" s="264"/>
      <c r="D58" s="264"/>
      <c r="E58" s="264"/>
      <c r="I58" s="193"/>
      <c r="O58" s="320"/>
      <c r="Q58" s="320"/>
      <c r="V58" s="132"/>
      <c r="AD58" s="3"/>
      <c r="AE58" s="132"/>
      <c r="AF58" s="3"/>
    </row>
    <row r="59" spans="1:33" ht="19.899999999999999" customHeight="1">
      <c r="A59" s="264"/>
      <c r="B59" s="264"/>
      <c r="C59" s="264"/>
      <c r="D59" s="264"/>
      <c r="E59" s="264"/>
      <c r="I59" s="193"/>
      <c r="O59" s="320"/>
      <c r="Q59" s="320"/>
      <c r="V59" s="132"/>
      <c r="AD59" s="3"/>
      <c r="AE59" s="132"/>
      <c r="AF59" s="3"/>
    </row>
    <row r="60" spans="1:33" ht="19.899999999999999" customHeight="1">
      <c r="A60" s="494" t="s">
        <v>159</v>
      </c>
      <c r="B60" s="494"/>
      <c r="C60" s="265"/>
      <c r="D60" s="266"/>
      <c r="E60" s="266"/>
      <c r="F60" s="267"/>
      <c r="G60" s="268"/>
      <c r="H60" s="269"/>
      <c r="I60" s="268"/>
      <c r="J60" s="268"/>
      <c r="K60" s="269"/>
      <c r="L60" s="322"/>
      <c r="M60" s="323"/>
      <c r="N60" s="324"/>
      <c r="O60" s="325"/>
      <c r="P60" s="326"/>
      <c r="Q60" s="325"/>
      <c r="R60" s="267"/>
      <c r="S60" s="326"/>
      <c r="T60" s="267"/>
      <c r="U60" s="267"/>
      <c r="V60" s="344"/>
      <c r="W60" s="267"/>
      <c r="X60" s="267"/>
      <c r="Y60" s="267"/>
      <c r="Z60" s="344"/>
      <c r="AA60" s="344"/>
      <c r="AB60" s="344"/>
      <c r="AC60" s="344"/>
      <c r="AD60" s="344"/>
      <c r="AE60" s="267"/>
      <c r="AF60" s="3"/>
    </row>
    <row r="61" spans="1:33" ht="19.899999999999999" customHeight="1">
      <c r="A61" s="270" t="s">
        <v>160</v>
      </c>
      <c r="B61" s="494" t="s">
        <v>161</v>
      </c>
      <c r="C61" s="494"/>
      <c r="D61" s="494"/>
      <c r="E61" s="494"/>
      <c r="F61" s="494"/>
      <c r="G61" s="494"/>
      <c r="H61" s="494"/>
      <c r="I61" s="494"/>
      <c r="J61" s="494"/>
      <c r="K61" s="494"/>
      <c r="L61" s="494"/>
      <c r="M61" s="494"/>
      <c r="N61" s="494"/>
      <c r="O61" s="494"/>
      <c r="P61" s="494"/>
      <c r="Q61" s="494"/>
      <c r="R61" s="494"/>
      <c r="S61" s="494"/>
      <c r="T61" s="494"/>
      <c r="U61" s="494"/>
      <c r="V61" s="494"/>
      <c r="W61" s="494"/>
      <c r="X61" s="494"/>
      <c r="Y61" s="494"/>
      <c r="Z61" s="494"/>
      <c r="AA61" s="494"/>
      <c r="AB61" s="494"/>
      <c r="AC61" s="494"/>
      <c r="AD61" s="494"/>
      <c r="AE61" s="494"/>
    </row>
    <row r="62" spans="1:33" ht="19.899999999999999" customHeight="1">
      <c r="A62" s="270" t="s">
        <v>162</v>
      </c>
      <c r="B62" s="494" t="s">
        <v>163</v>
      </c>
      <c r="C62" s="494"/>
      <c r="D62" s="494"/>
      <c r="E62" s="494"/>
      <c r="F62" s="494"/>
      <c r="G62" s="494"/>
      <c r="H62" s="494"/>
      <c r="I62" s="494"/>
      <c r="J62" s="494"/>
      <c r="K62" s="494"/>
      <c r="L62" s="494"/>
      <c r="M62" s="494"/>
      <c r="N62" s="494"/>
      <c r="O62" s="494"/>
      <c r="P62" s="494"/>
      <c r="Q62" s="494"/>
      <c r="R62" s="494"/>
      <c r="S62" s="494"/>
      <c r="T62" s="494"/>
      <c r="U62" s="494"/>
      <c r="V62" s="494"/>
      <c r="W62" s="494"/>
      <c r="X62" s="494"/>
      <c r="Y62" s="494"/>
      <c r="Z62" s="494"/>
      <c r="AA62" s="494"/>
      <c r="AB62" s="494"/>
      <c r="AC62" s="494"/>
      <c r="AD62" s="494"/>
      <c r="AE62" s="494"/>
    </row>
    <row r="63" spans="1:33" ht="19.899999999999999" customHeight="1">
      <c r="A63" s="270" t="s">
        <v>164</v>
      </c>
      <c r="B63" s="494" t="s">
        <v>165</v>
      </c>
      <c r="C63" s="494"/>
      <c r="D63" s="494"/>
      <c r="E63" s="494"/>
      <c r="F63" s="494"/>
      <c r="G63" s="494"/>
      <c r="H63" s="494"/>
      <c r="I63" s="494"/>
      <c r="J63" s="494"/>
      <c r="K63" s="494"/>
      <c r="L63" s="494"/>
      <c r="M63" s="494"/>
      <c r="N63" s="494"/>
      <c r="O63" s="494"/>
      <c r="P63" s="494"/>
      <c r="Q63" s="494"/>
      <c r="R63" s="494"/>
      <c r="S63" s="494"/>
      <c r="T63" s="494"/>
      <c r="U63" s="494"/>
      <c r="V63" s="494"/>
      <c r="W63" s="494"/>
      <c r="X63" s="494"/>
      <c r="Y63" s="494"/>
      <c r="Z63" s="494"/>
      <c r="AA63" s="494"/>
      <c r="AB63" s="494"/>
      <c r="AC63" s="494"/>
      <c r="AD63" s="494"/>
      <c r="AE63" s="494"/>
    </row>
    <row r="64" spans="1:33" ht="19.899999999999999" customHeight="1">
      <c r="A64" s="270" t="s">
        <v>166</v>
      </c>
      <c r="B64" s="494" t="s">
        <v>167</v>
      </c>
      <c r="C64" s="494"/>
      <c r="D64" s="494"/>
      <c r="E64" s="494"/>
      <c r="F64" s="494"/>
      <c r="G64" s="494"/>
      <c r="H64" s="494"/>
      <c r="I64" s="494"/>
      <c r="J64" s="494"/>
      <c r="K64" s="494"/>
      <c r="L64" s="494"/>
      <c r="M64" s="494"/>
      <c r="N64" s="494"/>
      <c r="O64" s="494"/>
      <c r="P64" s="494"/>
      <c r="Q64" s="494"/>
      <c r="R64" s="494"/>
      <c r="S64" s="494"/>
      <c r="T64" s="494"/>
      <c r="U64" s="494"/>
      <c r="V64" s="494"/>
      <c r="W64" s="494"/>
      <c r="X64" s="494"/>
      <c r="Y64" s="494"/>
      <c r="Z64" s="494"/>
      <c r="AA64" s="494"/>
      <c r="AB64" s="494"/>
      <c r="AC64" s="494"/>
      <c r="AD64" s="494"/>
      <c r="AE64" s="494"/>
    </row>
    <row r="65" spans="1:33" ht="19.899999999999999" customHeight="1">
      <c r="A65" s="270" t="s">
        <v>168</v>
      </c>
      <c r="B65" s="494" t="s">
        <v>169</v>
      </c>
      <c r="C65" s="494"/>
      <c r="D65" s="494"/>
      <c r="E65" s="494"/>
      <c r="F65" s="494"/>
      <c r="G65" s="494"/>
      <c r="H65" s="494"/>
      <c r="I65" s="494"/>
      <c r="J65" s="494"/>
      <c r="K65" s="494"/>
      <c r="L65" s="494"/>
      <c r="M65" s="494"/>
      <c r="N65" s="494"/>
      <c r="O65" s="494"/>
      <c r="P65" s="494"/>
      <c r="Q65" s="494"/>
      <c r="R65" s="494"/>
      <c r="S65" s="494"/>
      <c r="T65" s="494"/>
      <c r="U65" s="494"/>
      <c r="V65" s="494"/>
      <c r="W65" s="494"/>
      <c r="X65" s="494"/>
      <c r="Y65" s="494"/>
      <c r="Z65" s="494"/>
      <c r="AA65" s="494"/>
      <c r="AB65" s="494"/>
      <c r="AC65" s="494"/>
      <c r="AD65" s="494"/>
      <c r="AE65" s="494"/>
    </row>
    <row r="66" spans="1:33" ht="19.899999999999999" customHeight="1">
      <c r="A66" s="270" t="s">
        <v>170</v>
      </c>
      <c r="B66" s="494" t="s">
        <v>171</v>
      </c>
      <c r="C66" s="494"/>
      <c r="D66" s="494"/>
      <c r="E66" s="494"/>
      <c r="F66" s="494"/>
      <c r="G66" s="494"/>
      <c r="H66" s="494"/>
      <c r="I66" s="494"/>
      <c r="J66" s="494"/>
      <c r="K66" s="494"/>
      <c r="L66" s="494"/>
      <c r="M66" s="494"/>
      <c r="N66" s="494"/>
      <c r="O66" s="494"/>
      <c r="P66" s="494"/>
      <c r="Q66" s="494"/>
      <c r="R66" s="494"/>
      <c r="S66" s="494"/>
      <c r="T66" s="494"/>
      <c r="U66" s="494"/>
      <c r="V66" s="494"/>
      <c r="W66" s="494"/>
      <c r="X66" s="494"/>
      <c r="Y66" s="494"/>
      <c r="Z66" s="494"/>
      <c r="AA66" s="494"/>
      <c r="AB66" s="494"/>
      <c r="AC66" s="494"/>
      <c r="AD66" s="494"/>
      <c r="AE66" s="494"/>
    </row>
    <row r="67" spans="1:33" ht="19.899999999999999" customHeight="1">
      <c r="A67" s="270" t="s">
        <v>172</v>
      </c>
      <c r="B67" s="494" t="s">
        <v>173</v>
      </c>
      <c r="C67" s="494"/>
      <c r="D67" s="494"/>
      <c r="E67" s="494"/>
      <c r="F67" s="494"/>
      <c r="G67" s="494"/>
      <c r="H67" s="494"/>
      <c r="I67" s="494"/>
      <c r="J67" s="494"/>
      <c r="K67" s="494"/>
      <c r="L67" s="494"/>
      <c r="M67" s="494"/>
      <c r="N67" s="494"/>
      <c r="O67" s="494"/>
      <c r="P67" s="494"/>
      <c r="Q67" s="494"/>
      <c r="R67" s="494"/>
      <c r="S67" s="494"/>
      <c r="T67" s="494"/>
      <c r="U67" s="494"/>
      <c r="V67" s="494"/>
      <c r="W67" s="494"/>
      <c r="X67" s="494"/>
      <c r="Y67" s="494"/>
      <c r="Z67" s="494"/>
      <c r="AA67" s="494"/>
      <c r="AB67" s="494"/>
      <c r="AC67" s="494"/>
      <c r="AD67" s="494"/>
      <c r="AE67" s="494"/>
    </row>
    <row r="68" spans="1:33" ht="19.899999999999999" customHeight="1">
      <c r="A68" s="270" t="s">
        <v>174</v>
      </c>
      <c r="B68" s="494" t="s">
        <v>175</v>
      </c>
      <c r="C68" s="494"/>
      <c r="D68" s="494"/>
      <c r="E68" s="494"/>
      <c r="F68" s="494"/>
      <c r="G68" s="494"/>
      <c r="H68" s="494"/>
      <c r="I68" s="494"/>
      <c r="J68" s="494"/>
      <c r="K68" s="494"/>
      <c r="L68" s="494"/>
      <c r="M68" s="494"/>
      <c r="N68" s="494"/>
      <c r="O68" s="494"/>
      <c r="P68" s="494"/>
      <c r="Q68" s="494"/>
      <c r="R68" s="494"/>
      <c r="S68" s="494"/>
      <c r="T68" s="494"/>
      <c r="U68" s="494"/>
      <c r="V68" s="494"/>
      <c r="W68" s="494"/>
      <c r="X68" s="494"/>
      <c r="Y68" s="494"/>
      <c r="Z68" s="494"/>
      <c r="AA68" s="494"/>
      <c r="AB68" s="494"/>
      <c r="AC68" s="494"/>
      <c r="AD68" s="494"/>
      <c r="AE68" s="494"/>
    </row>
    <row r="69" spans="1:33" ht="19.899999999999999" customHeight="1">
      <c r="A69" s="270" t="s">
        <v>176</v>
      </c>
      <c r="B69" s="494" t="s">
        <v>177</v>
      </c>
      <c r="C69" s="494"/>
      <c r="D69" s="494"/>
      <c r="E69" s="494"/>
      <c r="F69" s="494"/>
      <c r="G69" s="494"/>
      <c r="H69" s="494"/>
      <c r="I69" s="494"/>
      <c r="J69" s="494"/>
      <c r="K69" s="494"/>
      <c r="L69" s="494"/>
      <c r="M69" s="494"/>
      <c r="N69" s="494"/>
      <c r="O69" s="494"/>
      <c r="P69" s="494"/>
      <c r="Q69" s="494"/>
      <c r="R69" s="494"/>
      <c r="S69" s="494"/>
      <c r="T69" s="494"/>
      <c r="U69" s="494"/>
      <c r="V69" s="494"/>
      <c r="W69" s="494"/>
      <c r="X69" s="494"/>
      <c r="Y69" s="494"/>
      <c r="Z69" s="494"/>
      <c r="AA69" s="494"/>
      <c r="AB69" s="494"/>
      <c r="AC69" s="494"/>
      <c r="AD69" s="494"/>
      <c r="AE69" s="494"/>
      <c r="AF69" s="494"/>
      <c r="AG69" s="494"/>
    </row>
    <row r="70" spans="1:33" ht="94.5" customHeight="1">
      <c r="A70" s="270" t="s">
        <v>178</v>
      </c>
      <c r="B70" s="494" t="s">
        <v>179</v>
      </c>
      <c r="C70" s="494"/>
      <c r="D70" s="494"/>
      <c r="E70" s="494"/>
      <c r="F70" s="494"/>
      <c r="G70" s="494"/>
      <c r="H70" s="494"/>
      <c r="I70" s="494"/>
      <c r="J70" s="494"/>
      <c r="K70" s="494"/>
      <c r="L70" s="494"/>
      <c r="M70" s="494"/>
      <c r="N70" s="494"/>
      <c r="O70" s="494"/>
      <c r="P70" s="494"/>
      <c r="Q70" s="494"/>
      <c r="R70" s="494"/>
      <c r="S70" s="494"/>
      <c r="T70" s="494"/>
      <c r="U70" s="494"/>
      <c r="V70" s="494"/>
      <c r="W70" s="494"/>
      <c r="X70" s="494"/>
      <c r="Y70" s="494"/>
      <c r="Z70" s="494"/>
      <c r="AA70" s="494"/>
      <c r="AB70" s="494"/>
      <c r="AC70" s="494"/>
      <c r="AD70" s="494"/>
      <c r="AE70" s="494"/>
    </row>
    <row r="71" spans="1:33" ht="48.75" customHeight="1">
      <c r="A71" s="270" t="s">
        <v>180</v>
      </c>
      <c r="B71" s="494" t="s">
        <v>181</v>
      </c>
      <c r="C71" s="494"/>
      <c r="D71" s="494"/>
      <c r="E71" s="494"/>
      <c r="F71" s="494"/>
      <c r="G71" s="494"/>
      <c r="H71" s="494"/>
      <c r="I71" s="494"/>
      <c r="J71" s="494"/>
      <c r="K71" s="494"/>
      <c r="L71" s="494"/>
      <c r="M71" s="494"/>
      <c r="N71" s="494"/>
      <c r="O71" s="494"/>
      <c r="P71" s="494"/>
      <c r="Q71" s="494"/>
      <c r="R71" s="494"/>
      <c r="S71" s="494"/>
      <c r="T71" s="494"/>
      <c r="U71" s="494"/>
      <c r="V71" s="494"/>
      <c r="W71" s="494"/>
      <c r="X71" s="494"/>
      <c r="Y71" s="494"/>
      <c r="Z71" s="494"/>
      <c r="AA71" s="494"/>
      <c r="AB71" s="494"/>
      <c r="AC71" s="494"/>
      <c r="AD71" s="494"/>
      <c r="AE71" s="494"/>
    </row>
    <row r="72" spans="1:33" ht="66" customHeight="1">
      <c r="A72" s="270" t="s">
        <v>182</v>
      </c>
      <c r="B72" s="494" t="s">
        <v>183</v>
      </c>
      <c r="C72" s="494"/>
      <c r="D72" s="494"/>
      <c r="E72" s="494"/>
      <c r="F72" s="494"/>
      <c r="G72" s="494"/>
      <c r="H72" s="494"/>
      <c r="I72" s="494"/>
      <c r="J72" s="494"/>
      <c r="K72" s="494"/>
      <c r="L72" s="494"/>
      <c r="M72" s="494"/>
      <c r="N72" s="494"/>
      <c r="O72" s="494"/>
      <c r="P72" s="494"/>
      <c r="Q72" s="494"/>
      <c r="R72" s="494"/>
      <c r="S72" s="494"/>
      <c r="T72" s="494"/>
      <c r="U72" s="494"/>
      <c r="V72" s="494"/>
      <c r="W72" s="494"/>
      <c r="X72" s="494"/>
      <c r="Y72" s="494"/>
      <c r="Z72" s="494"/>
      <c r="AA72" s="494"/>
      <c r="AB72" s="494"/>
      <c r="AC72" s="494"/>
      <c r="AD72" s="494"/>
      <c r="AE72" s="494"/>
    </row>
    <row r="73" spans="1:33" ht="84" customHeight="1">
      <c r="A73" s="404"/>
      <c r="B73" s="496" t="s">
        <v>184</v>
      </c>
      <c r="C73" s="496"/>
      <c r="D73" s="496"/>
      <c r="E73" s="496"/>
      <c r="F73" s="496"/>
      <c r="G73" s="496"/>
      <c r="H73" s="496"/>
      <c r="I73" s="496"/>
      <c r="J73" s="496"/>
      <c r="K73" s="496"/>
      <c r="L73" s="496"/>
      <c r="M73" s="496"/>
      <c r="N73" s="496"/>
      <c r="O73" s="496"/>
      <c r="P73" s="496"/>
      <c r="Q73" s="496"/>
      <c r="R73" s="496"/>
      <c r="S73" s="496"/>
      <c r="T73" s="496"/>
      <c r="U73" s="496"/>
      <c r="V73" s="496"/>
      <c r="W73" s="496"/>
      <c r="X73" s="496"/>
      <c r="Y73" s="496"/>
      <c r="Z73" s="496"/>
      <c r="AA73" s="496"/>
      <c r="AB73" s="496"/>
      <c r="AC73" s="496"/>
      <c r="AD73" s="496"/>
      <c r="AE73" s="496"/>
    </row>
    <row r="74" spans="1:33" ht="27" customHeight="1"/>
    <row r="75" spans="1:33" ht="64.5" customHeight="1"/>
    <row r="76" spans="1:33" ht="49.5" customHeight="1"/>
    <row r="77" spans="1:33" ht="64.5" customHeight="1"/>
    <row r="78" spans="1:33" ht="126.75" customHeight="1"/>
    <row r="79" spans="1:33" ht="48" customHeight="1"/>
    <row r="80" spans="1:33" ht="141" customHeight="1"/>
    <row r="81" ht="45.75" customHeight="1"/>
    <row r="82" ht="78" customHeight="1"/>
    <row r="83" ht="124.5" customHeight="1"/>
    <row r="84" ht="94.5" customHeight="1"/>
    <row r="85" ht="80.25" customHeight="1"/>
    <row r="86" ht="53.25" customHeight="1"/>
    <row r="87" ht="67.5" customHeight="1"/>
    <row r="88" ht="52.5" customHeight="1"/>
    <row r="89" ht="85.5" customHeight="1"/>
    <row r="90" ht="99" customHeight="1"/>
    <row r="91" ht="131.25" customHeight="1"/>
    <row r="92" ht="66.75" customHeight="1"/>
    <row r="93" ht="99.75" customHeight="1"/>
    <row r="94" ht="124.5" customHeight="1"/>
    <row r="95" ht="102.75" customHeight="1"/>
    <row r="96" ht="54.75" customHeight="1"/>
    <row r="97" ht="66" customHeight="1"/>
    <row r="98" ht="66" customHeight="1"/>
    <row r="99" ht="126" customHeight="1"/>
    <row r="100" ht="48" customHeight="1"/>
    <row r="101" ht="54" customHeight="1"/>
    <row r="102" ht="111.75" customHeight="1"/>
    <row r="109" ht="48" customHeight="1"/>
    <row r="110" ht="33" customHeight="1"/>
    <row r="111" ht="33" customHeight="1"/>
    <row r="112" ht="33" customHeight="1"/>
    <row r="113" ht="33" customHeight="1"/>
    <row r="114" ht="33" customHeight="1"/>
  </sheetData>
  <mergeCells count="59">
    <mergeCell ref="AF8:AF10"/>
    <mergeCell ref="AF11:AF39"/>
    <mergeCell ref="AG8:AG10"/>
    <mergeCell ref="B8:C9"/>
    <mergeCell ref="P8:Q9"/>
    <mergeCell ref="R8:S9"/>
    <mergeCell ref="T8:U9"/>
    <mergeCell ref="V8:W9"/>
    <mergeCell ref="X8:Y9"/>
    <mergeCell ref="Z8:AA9"/>
    <mergeCell ref="AB8:AC9"/>
    <mergeCell ref="AD8:AE9"/>
    <mergeCell ref="G8:I9"/>
    <mergeCell ref="J8:L9"/>
    <mergeCell ref="M8:O9"/>
    <mergeCell ref="G10:H10"/>
    <mergeCell ref="B71:AE71"/>
    <mergeCell ref="B72:AE72"/>
    <mergeCell ref="B73:AE73"/>
    <mergeCell ref="A8:A10"/>
    <mergeCell ref="D8:D10"/>
    <mergeCell ref="E8:E10"/>
    <mergeCell ref="F8:F10"/>
    <mergeCell ref="B66:AE66"/>
    <mergeCell ref="B67:AE67"/>
    <mergeCell ref="B68:AE68"/>
    <mergeCell ref="B69:AG69"/>
    <mergeCell ref="B70:AE70"/>
    <mergeCell ref="B61:AE61"/>
    <mergeCell ref="B62:AE62"/>
    <mergeCell ref="B63:AE63"/>
    <mergeCell ref="B64:AE64"/>
    <mergeCell ref="B65:AE65"/>
    <mergeCell ref="AC51:AG51"/>
    <mergeCell ref="AC52:AG52"/>
    <mergeCell ref="AC53:AG53"/>
    <mergeCell ref="AC56:AG56"/>
    <mergeCell ref="A60:B60"/>
    <mergeCell ref="A42:H42"/>
    <mergeCell ref="P42:X42"/>
    <mergeCell ref="M43:N43"/>
    <mergeCell ref="P43:Y43"/>
    <mergeCell ref="W45:X45"/>
    <mergeCell ref="J10:K10"/>
    <mergeCell ref="M10:N10"/>
    <mergeCell ref="P40:Y40"/>
    <mergeCell ref="P41:Y41"/>
    <mergeCell ref="A1:AG1"/>
    <mergeCell ref="A3:AG3"/>
    <mergeCell ref="A4:AG4"/>
    <mergeCell ref="A5:AG5"/>
    <mergeCell ref="B7:C7"/>
    <mergeCell ref="G7:I7"/>
    <mergeCell ref="J7:L7"/>
    <mergeCell ref="M7:O7"/>
    <mergeCell ref="P7:Y7"/>
    <mergeCell ref="Z7:AA7"/>
    <mergeCell ref="AB7:AC7"/>
    <mergeCell ref="AD7:AE7"/>
  </mergeCells>
  <pageMargins left="0.31496062992126" right="0.31496062992126" top="0.59055118110236204" bottom="0.511811023622047" header="0.31496062992126" footer="0.31496062992126"/>
  <pageSetup paperSize="256" scale="15" orientation="landscape" verticalDpi="3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58"/>
  <sheetViews>
    <sheetView topLeftCell="A35" zoomScale="70" zoomScaleNormal="70" workbookViewId="0">
      <selection activeCell="G38" sqref="G38:I39"/>
    </sheetView>
  </sheetViews>
  <sheetFormatPr defaultColWidth="8.7109375" defaultRowHeight="15"/>
  <cols>
    <col min="1" max="2" width="14.42578125" style="3" customWidth="1"/>
    <col min="3" max="3" width="28.7109375" style="3" customWidth="1"/>
    <col min="4" max="4" width="12.28515625" style="3" customWidth="1"/>
    <col min="5" max="5" width="18.28515625" style="3" customWidth="1"/>
    <col min="6" max="6" width="14.5703125" style="3" customWidth="1"/>
    <col min="7" max="7" width="6.7109375" style="3" customWidth="1"/>
    <col min="8" max="8" width="11.140625" style="3" customWidth="1"/>
    <col min="9" max="9" width="20.7109375" style="3" customWidth="1"/>
    <col min="10" max="11" width="6.7109375" style="3" customWidth="1"/>
    <col min="12" max="12" width="21.42578125" style="3" customWidth="1"/>
    <col min="13" max="14" width="6.7109375" style="3" customWidth="1"/>
    <col min="15" max="15" width="20.85546875" style="3" customWidth="1"/>
    <col min="16" max="16" width="12.7109375" style="3" customWidth="1"/>
    <col min="17" max="17" width="18.7109375" style="3" customWidth="1"/>
    <col min="18" max="18" width="9.7109375" style="3" customWidth="1"/>
    <col min="19" max="19" width="19.28515625" style="3" customWidth="1"/>
    <col min="20" max="20" width="7.7109375" style="3" customWidth="1"/>
    <col min="21" max="21" width="9.7109375" style="3" customWidth="1"/>
    <col min="22" max="22" width="8.28515625" style="3" customWidth="1"/>
    <col min="23" max="23" width="9.7109375" style="3" customWidth="1"/>
    <col min="24" max="24" width="10.28515625" style="3" customWidth="1"/>
    <col min="25" max="25" width="18.7109375" style="3" customWidth="1"/>
    <col min="26" max="26" width="10" style="3" customWidth="1"/>
    <col min="27" max="27" width="21" style="3" customWidth="1"/>
    <col min="28" max="28" width="7.42578125" style="3" customWidth="1"/>
    <col min="29" max="29" width="12.42578125" style="3" customWidth="1"/>
    <col min="30" max="30" width="8.7109375" style="3"/>
    <col min="31" max="31" width="11" style="3" customWidth="1"/>
    <col min="32" max="16384" width="8.7109375" style="3"/>
  </cols>
  <sheetData>
    <row r="1" spans="1:31">
      <c r="A1" s="510" t="s">
        <v>185</v>
      </c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0"/>
      <c r="S1" s="510"/>
      <c r="T1" s="510"/>
      <c r="U1" s="510"/>
      <c r="V1" s="510"/>
      <c r="W1" s="510"/>
      <c r="X1" s="510"/>
      <c r="Y1" s="510"/>
      <c r="Z1" s="510"/>
      <c r="AA1" s="510"/>
      <c r="AB1" s="510"/>
      <c r="AC1" s="510"/>
      <c r="AD1" s="510"/>
      <c r="AE1" s="510"/>
    </row>
    <row r="2" spans="1:31">
      <c r="A2" s="510" t="s">
        <v>2</v>
      </c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510"/>
      <c r="R2" s="510"/>
      <c r="S2" s="510"/>
      <c r="T2" s="510"/>
      <c r="U2" s="510"/>
      <c r="V2" s="510"/>
      <c r="W2" s="510"/>
      <c r="X2" s="510"/>
      <c r="Y2" s="510"/>
      <c r="Z2" s="510"/>
      <c r="AA2" s="510"/>
      <c r="AB2" s="510"/>
      <c r="AC2" s="510"/>
      <c r="AD2" s="510"/>
      <c r="AE2" s="510"/>
    </row>
    <row r="3" spans="1:31">
      <c r="A3" s="510" t="s">
        <v>186</v>
      </c>
      <c r="B3" s="510"/>
      <c r="C3" s="510"/>
      <c r="D3" s="510"/>
      <c r="E3" s="510"/>
      <c r="F3" s="510"/>
      <c r="G3" s="510"/>
      <c r="H3" s="510"/>
      <c r="I3" s="510"/>
      <c r="J3" s="510"/>
      <c r="K3" s="510"/>
      <c r="L3" s="510"/>
      <c r="M3" s="510"/>
      <c r="N3" s="510"/>
      <c r="O3" s="510"/>
      <c r="P3" s="510"/>
      <c r="Q3" s="510"/>
      <c r="R3" s="510"/>
      <c r="S3" s="510"/>
      <c r="T3" s="510"/>
      <c r="U3" s="510"/>
      <c r="V3" s="510"/>
      <c r="W3" s="510"/>
      <c r="X3" s="510"/>
      <c r="Y3" s="510"/>
      <c r="Z3" s="510"/>
      <c r="AA3" s="510"/>
      <c r="AB3" s="510"/>
      <c r="AC3" s="510"/>
      <c r="AD3" s="510"/>
      <c r="AE3" s="510"/>
    </row>
    <row r="5" spans="1:31" ht="76.5">
      <c r="A5" s="5" t="s">
        <v>3</v>
      </c>
      <c r="B5" s="511" t="s">
        <v>187</v>
      </c>
      <c r="C5" s="511"/>
      <c r="D5" s="6" t="s">
        <v>188</v>
      </c>
      <c r="E5" s="6" t="s">
        <v>189</v>
      </c>
      <c r="F5" s="6" t="s">
        <v>190</v>
      </c>
      <c r="G5" s="511" t="s">
        <v>191</v>
      </c>
      <c r="H5" s="511"/>
      <c r="I5" s="511"/>
      <c r="J5" s="511" t="s">
        <v>192</v>
      </c>
      <c r="K5" s="511"/>
      <c r="L5" s="511"/>
      <c r="M5" s="511" t="s">
        <v>193</v>
      </c>
      <c r="N5" s="511"/>
      <c r="O5" s="511"/>
      <c r="P5" s="511" t="s">
        <v>194</v>
      </c>
      <c r="Q5" s="511"/>
      <c r="R5" s="511"/>
      <c r="S5" s="511"/>
      <c r="T5" s="511"/>
      <c r="U5" s="511"/>
      <c r="V5" s="511"/>
      <c r="W5" s="511"/>
      <c r="X5" s="511" t="s">
        <v>195</v>
      </c>
      <c r="Y5" s="511"/>
      <c r="Z5" s="511" t="s">
        <v>196</v>
      </c>
      <c r="AA5" s="511"/>
      <c r="AB5" s="511" t="s">
        <v>197</v>
      </c>
      <c r="AC5" s="511"/>
      <c r="AD5" s="6" t="s">
        <v>198</v>
      </c>
      <c r="AE5" s="133" t="s">
        <v>16</v>
      </c>
    </row>
    <row r="6" spans="1:31">
      <c r="A6" s="513">
        <v>1</v>
      </c>
      <c r="B6" s="514">
        <v>2</v>
      </c>
      <c r="C6" s="514"/>
      <c r="D6" s="514">
        <v>3</v>
      </c>
      <c r="E6" s="514">
        <v>4</v>
      </c>
      <c r="F6" s="514">
        <v>5</v>
      </c>
      <c r="G6" s="514">
        <v>6</v>
      </c>
      <c r="H6" s="514"/>
      <c r="I6" s="514"/>
      <c r="J6" s="514">
        <v>7</v>
      </c>
      <c r="K6" s="514"/>
      <c r="L6" s="514"/>
      <c r="M6" s="514">
        <v>8</v>
      </c>
      <c r="N6" s="514"/>
      <c r="O6" s="514"/>
      <c r="P6" s="509">
        <v>9</v>
      </c>
      <c r="Q6" s="509"/>
      <c r="R6" s="509">
        <v>10</v>
      </c>
      <c r="S6" s="509"/>
      <c r="T6" s="509">
        <v>11</v>
      </c>
      <c r="U6" s="509"/>
      <c r="V6" s="509">
        <v>12</v>
      </c>
      <c r="W6" s="509"/>
      <c r="X6" s="514">
        <v>13</v>
      </c>
      <c r="Y6" s="514"/>
      <c r="Z6" s="514" t="s">
        <v>199</v>
      </c>
      <c r="AA6" s="514"/>
      <c r="AB6" s="514" t="s">
        <v>200</v>
      </c>
      <c r="AC6" s="514"/>
      <c r="AD6" s="523">
        <v>16</v>
      </c>
      <c r="AE6" s="528">
        <v>17</v>
      </c>
    </row>
    <row r="7" spans="1:31" ht="14.65" customHeight="1">
      <c r="A7" s="513"/>
      <c r="B7" s="514"/>
      <c r="C7" s="514"/>
      <c r="D7" s="514"/>
      <c r="E7" s="514"/>
      <c r="F7" s="514"/>
      <c r="G7" s="514"/>
      <c r="H7" s="514"/>
      <c r="I7" s="514"/>
      <c r="J7" s="514"/>
      <c r="K7" s="514"/>
      <c r="L7" s="514"/>
      <c r="M7" s="514"/>
      <c r="N7" s="514"/>
      <c r="O7" s="514"/>
      <c r="P7" s="509" t="s">
        <v>17</v>
      </c>
      <c r="Q7" s="509"/>
      <c r="R7" s="509" t="s">
        <v>18</v>
      </c>
      <c r="S7" s="509"/>
      <c r="T7" s="509" t="s">
        <v>19</v>
      </c>
      <c r="U7" s="509"/>
      <c r="V7" s="509" t="s">
        <v>20</v>
      </c>
      <c r="W7" s="509"/>
      <c r="X7" s="514"/>
      <c r="Y7" s="514"/>
      <c r="Z7" s="514"/>
      <c r="AA7" s="514"/>
      <c r="AB7" s="514"/>
      <c r="AC7" s="514"/>
      <c r="AD7" s="524"/>
      <c r="AE7" s="529"/>
    </row>
    <row r="8" spans="1:31" ht="16.5" customHeight="1">
      <c r="A8" s="513"/>
      <c r="B8" s="514"/>
      <c r="C8" s="514"/>
      <c r="D8" s="514"/>
      <c r="E8" s="514"/>
      <c r="F8" s="514"/>
      <c r="G8" s="9" t="s">
        <v>27</v>
      </c>
      <c r="H8" s="10"/>
      <c r="I8" s="55" t="s">
        <v>28</v>
      </c>
      <c r="J8" s="9" t="s">
        <v>27</v>
      </c>
      <c r="K8" s="56"/>
      <c r="L8" s="55" t="s">
        <v>28</v>
      </c>
      <c r="M8" s="9" t="s">
        <v>27</v>
      </c>
      <c r="N8" s="56"/>
      <c r="O8" s="55" t="s">
        <v>28</v>
      </c>
      <c r="P8" s="57" t="s">
        <v>27</v>
      </c>
      <c r="Q8" s="54" t="s">
        <v>28</v>
      </c>
      <c r="R8" s="57" t="s">
        <v>27</v>
      </c>
      <c r="S8" s="54" t="s">
        <v>28</v>
      </c>
      <c r="T8" s="57" t="s">
        <v>27</v>
      </c>
      <c r="U8" s="54" t="s">
        <v>28</v>
      </c>
      <c r="V8" s="54" t="s">
        <v>27</v>
      </c>
      <c r="W8" s="54" t="s">
        <v>28</v>
      </c>
      <c r="X8" s="55" t="s">
        <v>27</v>
      </c>
      <c r="Y8" s="55" t="s">
        <v>28</v>
      </c>
      <c r="Z8" s="55" t="s">
        <v>27</v>
      </c>
      <c r="AA8" s="55" t="s">
        <v>28</v>
      </c>
      <c r="AB8" s="55" t="s">
        <v>27</v>
      </c>
      <c r="AC8" s="55" t="s">
        <v>28</v>
      </c>
      <c r="AD8" s="525"/>
      <c r="AE8" s="530"/>
    </row>
    <row r="9" spans="1:31" ht="30.75" customHeight="1">
      <c r="A9" s="7"/>
      <c r="B9" s="8" t="s">
        <v>201</v>
      </c>
      <c r="C9" s="8" t="s">
        <v>26</v>
      </c>
      <c r="D9" s="8"/>
      <c r="E9" s="8"/>
      <c r="F9" s="8"/>
      <c r="G9" s="11"/>
      <c r="H9" s="10"/>
      <c r="I9" s="55"/>
      <c r="J9" s="11"/>
      <c r="K9" s="10"/>
      <c r="L9" s="55"/>
      <c r="M9" s="9"/>
      <c r="N9" s="10"/>
      <c r="O9" s="55"/>
      <c r="P9" s="57"/>
      <c r="Q9" s="54"/>
      <c r="R9" s="57"/>
      <c r="S9" s="54"/>
      <c r="T9" s="57"/>
      <c r="U9" s="54"/>
      <c r="V9" s="54"/>
      <c r="W9" s="54"/>
      <c r="X9" s="55"/>
      <c r="Y9" s="55"/>
      <c r="Z9" s="55"/>
      <c r="AA9" s="55"/>
      <c r="AB9" s="55"/>
      <c r="AC9" s="55"/>
      <c r="AD9" s="526" t="s">
        <v>202</v>
      </c>
      <c r="AE9" s="134"/>
    </row>
    <row r="10" spans="1:31" ht="30.75" customHeight="1">
      <c r="A10" s="12"/>
      <c r="B10" s="517" t="s">
        <v>30</v>
      </c>
      <c r="C10" s="518"/>
      <c r="D10" s="13"/>
      <c r="E10" s="13"/>
      <c r="F10" s="13"/>
      <c r="G10" s="14"/>
      <c r="H10" s="15"/>
      <c r="I10" s="58"/>
      <c r="J10" s="14"/>
      <c r="K10" s="15"/>
      <c r="L10" s="58"/>
      <c r="M10" s="59"/>
      <c r="N10" s="15"/>
      <c r="O10" s="58"/>
      <c r="P10" s="60"/>
      <c r="Q10" s="58"/>
      <c r="R10" s="60"/>
      <c r="S10" s="58"/>
      <c r="T10" s="60"/>
      <c r="U10" s="58"/>
      <c r="V10" s="58"/>
      <c r="W10" s="58"/>
      <c r="X10" s="58"/>
      <c r="Y10" s="58"/>
      <c r="Z10" s="58"/>
      <c r="AA10" s="58"/>
      <c r="AB10" s="58"/>
      <c r="AC10" s="58"/>
      <c r="AD10" s="527"/>
      <c r="AE10" s="135"/>
    </row>
    <row r="11" spans="1:31" s="1" customFormat="1" ht="89.25">
      <c r="A11" s="16"/>
      <c r="B11" s="17" t="s">
        <v>29</v>
      </c>
      <c r="C11" s="17" t="s">
        <v>29</v>
      </c>
      <c r="D11" s="18"/>
      <c r="E11" s="19" t="s">
        <v>203</v>
      </c>
      <c r="F11" s="18"/>
      <c r="G11" s="20"/>
      <c r="H11" s="21"/>
      <c r="I11" s="61">
        <f>0+I12+I14+I21+I23+I27</f>
        <v>3127932461</v>
      </c>
      <c r="J11" s="20"/>
      <c r="K11" s="21"/>
      <c r="L11" s="62">
        <f>0+L12+L14+L21+L23+L27</f>
        <v>0</v>
      </c>
      <c r="M11" s="63"/>
      <c r="N11" s="64"/>
      <c r="O11" s="62">
        <f>0+O12+O14+O21+O23+O27</f>
        <v>1789221660</v>
      </c>
      <c r="P11" s="65"/>
      <c r="Q11" s="103">
        <f>0+Q12+Q14+Q21+Q23+Q27</f>
        <v>268813055</v>
      </c>
      <c r="R11" s="104">
        <f>+S11/O11*M11</f>
        <v>0</v>
      </c>
      <c r="S11" s="104">
        <f>0+S12+S14+S21+S23+S27</f>
        <v>634392579</v>
      </c>
      <c r="T11" s="104">
        <f t="shared" ref="T11" si="0">0+T12+T14+T21+T23+T27</f>
        <v>0</v>
      </c>
      <c r="U11" s="18"/>
      <c r="V11" s="18"/>
      <c r="W11" s="18"/>
      <c r="X11" s="105">
        <f t="shared" ref="X11:X12" si="1">+P11+R11+T11+V11</f>
        <v>0</v>
      </c>
      <c r="Y11" s="136">
        <f>0+Y12+Y14+Y21+Y23+Y27</f>
        <v>903205634</v>
      </c>
      <c r="Z11" s="137">
        <f>X11+J11</f>
        <v>0</v>
      </c>
      <c r="AA11" s="138">
        <f>Y11+L11</f>
        <v>903205634</v>
      </c>
      <c r="AB11" s="139">
        <f>IFERROR(X11/J11,0)</f>
        <v>0</v>
      </c>
      <c r="AC11" s="139">
        <f>IFERROR(AA11/I11,)</f>
        <v>0.28875483894279602</v>
      </c>
      <c r="AD11" s="527"/>
      <c r="AE11" s="140"/>
    </row>
    <row r="12" spans="1:31" s="1" customFormat="1" ht="51">
      <c r="A12" s="22"/>
      <c r="B12" s="23"/>
      <c r="C12" s="23"/>
      <c r="D12" s="23"/>
      <c r="E12" s="24" t="s">
        <v>33</v>
      </c>
      <c r="F12" s="23"/>
      <c r="G12" s="25"/>
      <c r="H12" s="26"/>
      <c r="I12" s="66">
        <f>I13</f>
        <v>0</v>
      </c>
      <c r="J12" s="25"/>
      <c r="K12" s="26"/>
      <c r="L12" s="66">
        <f>L13</f>
        <v>0</v>
      </c>
      <c r="M12" s="67"/>
      <c r="N12" s="68"/>
      <c r="O12" s="66">
        <f>O13</f>
        <v>1509332860</v>
      </c>
      <c r="P12" s="69"/>
      <c r="Q12" s="106">
        <f>Q13</f>
        <v>215224842</v>
      </c>
      <c r="R12" s="107">
        <f t="shared" ref="R12" si="2">+S12/O12*M12</f>
        <v>0</v>
      </c>
      <c r="S12" s="107">
        <f>S13</f>
        <v>532804237</v>
      </c>
      <c r="T12" s="23"/>
      <c r="U12" s="23"/>
      <c r="V12" s="23"/>
      <c r="W12" s="23"/>
      <c r="X12" s="108">
        <f t="shared" si="1"/>
        <v>0</v>
      </c>
      <c r="Y12" s="107">
        <f>0+Y13</f>
        <v>748029079</v>
      </c>
      <c r="Z12" s="141">
        <f t="shared" ref="Z12:Z39" si="3">X12+J12</f>
        <v>0</v>
      </c>
      <c r="AA12" s="142">
        <f t="shared" ref="AA12:AA39" si="4">Y12+L12</f>
        <v>748029079</v>
      </c>
      <c r="AB12" s="143">
        <f>IFERROR(X12/J12,0)</f>
        <v>0</v>
      </c>
      <c r="AC12" s="143">
        <f>IFERROR(AA12/I12,)</f>
        <v>0</v>
      </c>
      <c r="AD12" s="527"/>
      <c r="AE12" s="144"/>
    </row>
    <row r="13" spans="1:31" s="1" customFormat="1" ht="90">
      <c r="A13" s="27"/>
      <c r="B13" s="28"/>
      <c r="C13" s="28"/>
      <c r="D13" s="28"/>
      <c r="E13" s="29" t="s">
        <v>34</v>
      </c>
      <c r="F13" s="29" t="s">
        <v>35</v>
      </c>
      <c r="G13" s="30">
        <v>42</v>
      </c>
      <c r="H13" s="31"/>
      <c r="I13" s="70"/>
      <c r="J13" s="30"/>
      <c r="K13" s="31"/>
      <c r="L13" s="28"/>
      <c r="M13" s="71">
        <v>14</v>
      </c>
      <c r="N13" s="72"/>
      <c r="O13" s="73">
        <v>1509332860</v>
      </c>
      <c r="P13" s="74">
        <f>Q13/O13</f>
        <v>0.14259600894132801</v>
      </c>
      <c r="Q13" s="109">
        <v>215224842</v>
      </c>
      <c r="R13" s="109">
        <f>+S13/O13</f>
        <v>0.35300645147287102</v>
      </c>
      <c r="S13" s="110">
        <f>165031318+173926534+193846385</f>
        <v>532804237</v>
      </c>
      <c r="T13" s="111"/>
      <c r="U13" s="111"/>
      <c r="V13" s="111"/>
      <c r="W13" s="111"/>
      <c r="X13" s="112">
        <f>P13+R13+T13+V13</f>
        <v>0.49560246041419898</v>
      </c>
      <c r="Y13" s="145">
        <f>SUM(Q13,S13,U13,W13)</f>
        <v>748029079</v>
      </c>
      <c r="Z13" s="146">
        <f t="shared" si="3"/>
        <v>0.49560246041419898</v>
      </c>
      <c r="AA13" s="147">
        <f t="shared" si="4"/>
        <v>748029079</v>
      </c>
      <c r="AB13" s="148">
        <f t="shared" ref="AB13:AB39" si="5">IFERROR(X13/J13,0)</f>
        <v>0</v>
      </c>
      <c r="AC13" s="149">
        <f>IFERROR(AA13/I13,0)</f>
        <v>0</v>
      </c>
      <c r="AD13" s="527"/>
      <c r="AE13" s="150"/>
    </row>
    <row r="14" spans="1:31" s="1" customFormat="1" ht="51">
      <c r="A14" s="22"/>
      <c r="B14" s="23"/>
      <c r="C14" s="23"/>
      <c r="D14" s="23"/>
      <c r="E14" s="24" t="s">
        <v>37</v>
      </c>
      <c r="F14" s="32"/>
      <c r="G14" s="25"/>
      <c r="H14" s="26"/>
      <c r="I14" s="66">
        <f>I15+I16+I17+I18+I19+I20</f>
        <v>1499389024</v>
      </c>
      <c r="J14" s="25"/>
      <c r="K14" s="26"/>
      <c r="L14" s="66">
        <f>L15+L16+L17+L18+L19+L20</f>
        <v>0</v>
      </c>
      <c r="M14" s="67"/>
      <c r="N14" s="68"/>
      <c r="O14" s="66">
        <f>O15+O16+O17+O18+O19+O20</f>
        <v>46531160</v>
      </c>
      <c r="P14" s="74">
        <f t="shared" ref="P14:P36" si="6">Q14/O14</f>
        <v>0</v>
      </c>
      <c r="Q14" s="106">
        <f>Q15</f>
        <v>0</v>
      </c>
      <c r="R14" s="109">
        <f t="shared" ref="R14:R36" si="7">+S14/O14</f>
        <v>0.65715103599394498</v>
      </c>
      <c r="S14" s="113">
        <f>SUM(S15:S20)</f>
        <v>30578000</v>
      </c>
      <c r="T14" s="23"/>
      <c r="U14" s="23"/>
      <c r="V14" s="23"/>
      <c r="W14" s="23"/>
      <c r="X14" s="108">
        <f t="shared" ref="X14:X39" si="8">+P14+R14+T14+V14</f>
        <v>0.65715103599394498</v>
      </c>
      <c r="Y14" s="107">
        <f>0+Y15+Y16+Y17+Y18+Y19+Y20</f>
        <v>30578000</v>
      </c>
      <c r="Z14" s="141">
        <f t="shared" si="3"/>
        <v>0.65715103599394498</v>
      </c>
      <c r="AA14" s="142">
        <f t="shared" si="4"/>
        <v>30578000</v>
      </c>
      <c r="AB14" s="143">
        <f t="shared" si="5"/>
        <v>0</v>
      </c>
      <c r="AC14" s="151">
        <f t="shared" ref="AC14:AC39" si="9">IFERROR(AA14/I14,0)</f>
        <v>2.0393640016401801E-2</v>
      </c>
      <c r="AD14" s="527"/>
      <c r="AE14" s="144"/>
    </row>
    <row r="15" spans="1:31" s="1" customFormat="1" ht="120">
      <c r="A15" s="27"/>
      <c r="B15" s="28"/>
      <c r="C15" s="28"/>
      <c r="D15" s="405" t="s">
        <v>38</v>
      </c>
      <c r="E15" s="29" t="s">
        <v>39</v>
      </c>
      <c r="F15" s="29" t="s">
        <v>40</v>
      </c>
      <c r="G15" s="30">
        <v>3</v>
      </c>
      <c r="H15" s="31" t="s">
        <v>41</v>
      </c>
      <c r="I15" s="75">
        <v>30756250</v>
      </c>
      <c r="J15" s="30"/>
      <c r="K15" s="31"/>
      <c r="L15" s="28"/>
      <c r="M15" s="71">
        <v>4</v>
      </c>
      <c r="N15" s="72"/>
      <c r="O15" s="73">
        <v>2300100</v>
      </c>
      <c r="P15" s="74">
        <f t="shared" si="6"/>
        <v>0</v>
      </c>
      <c r="Q15" s="109">
        <v>0</v>
      </c>
      <c r="R15" s="109">
        <f t="shared" si="7"/>
        <v>0.86778835702795498</v>
      </c>
      <c r="S15" s="114">
        <v>1996000</v>
      </c>
      <c r="T15" s="111"/>
      <c r="U15" s="111"/>
      <c r="V15" s="111"/>
      <c r="W15" s="111"/>
      <c r="X15" s="112">
        <f t="shared" si="8"/>
        <v>0.86778835702795498</v>
      </c>
      <c r="Y15" s="145">
        <f t="shared" ref="Y15:Y39" si="10">SUM(Q15,S15,U15,W15)</f>
        <v>1996000</v>
      </c>
      <c r="Z15" s="146">
        <f t="shared" si="3"/>
        <v>0.86778835702795498</v>
      </c>
      <c r="AA15" s="147">
        <f t="shared" si="4"/>
        <v>1996000</v>
      </c>
      <c r="AB15" s="148">
        <f t="shared" si="5"/>
        <v>0</v>
      </c>
      <c r="AC15" s="149">
        <f t="shared" si="9"/>
        <v>6.4897378581589102E-2</v>
      </c>
      <c r="AD15" s="527"/>
      <c r="AE15" s="150"/>
    </row>
    <row r="16" spans="1:31" s="1" customFormat="1" ht="75">
      <c r="A16" s="27"/>
      <c r="B16" s="28"/>
      <c r="C16" s="28"/>
      <c r="D16" s="405" t="s">
        <v>42</v>
      </c>
      <c r="E16" s="29" t="s">
        <v>43</v>
      </c>
      <c r="F16" s="29" t="s">
        <v>44</v>
      </c>
      <c r="G16" s="30">
        <v>15</v>
      </c>
      <c r="H16" s="31" t="s">
        <v>41</v>
      </c>
      <c r="I16" s="75">
        <v>333727149</v>
      </c>
      <c r="J16" s="30"/>
      <c r="K16" s="31"/>
      <c r="L16" s="28"/>
      <c r="M16" s="71">
        <v>3</v>
      </c>
      <c r="N16" s="72"/>
      <c r="O16" s="73">
        <v>16914600</v>
      </c>
      <c r="P16" s="74">
        <f t="shared" si="6"/>
        <v>0</v>
      </c>
      <c r="Q16" s="109">
        <v>0</v>
      </c>
      <c r="R16" s="109">
        <f t="shared" si="7"/>
        <v>0.52302153169451204</v>
      </c>
      <c r="S16" s="114">
        <v>8846700</v>
      </c>
      <c r="T16" s="111"/>
      <c r="U16" s="111"/>
      <c r="V16" s="111"/>
      <c r="W16" s="111"/>
      <c r="X16" s="112">
        <f t="shared" si="8"/>
        <v>0.52302153169451204</v>
      </c>
      <c r="Y16" s="145">
        <f t="shared" si="10"/>
        <v>8846700</v>
      </c>
      <c r="Z16" s="146">
        <f t="shared" si="3"/>
        <v>0.52302153169451204</v>
      </c>
      <c r="AA16" s="147">
        <f t="shared" si="4"/>
        <v>8846700</v>
      </c>
      <c r="AB16" s="148">
        <f t="shared" si="5"/>
        <v>0</v>
      </c>
      <c r="AC16" s="149">
        <f t="shared" si="9"/>
        <v>2.6508781279883199E-2</v>
      </c>
      <c r="AD16" s="527"/>
      <c r="AE16" s="150"/>
    </row>
    <row r="17" spans="1:31" s="1" customFormat="1" ht="75">
      <c r="A17" s="27"/>
      <c r="B17" s="28"/>
      <c r="C17" s="28"/>
      <c r="D17" s="405" t="s">
        <v>45</v>
      </c>
      <c r="E17" s="29" t="s">
        <v>46</v>
      </c>
      <c r="F17" s="29" t="s">
        <v>47</v>
      </c>
      <c r="G17" s="30">
        <v>12</v>
      </c>
      <c r="H17" s="31" t="s">
        <v>41</v>
      </c>
      <c r="I17" s="75">
        <v>61512500</v>
      </c>
      <c r="J17" s="30"/>
      <c r="K17" s="31"/>
      <c r="L17" s="28"/>
      <c r="M17" s="71">
        <v>2</v>
      </c>
      <c r="N17" s="72"/>
      <c r="O17" s="73">
        <v>8237860</v>
      </c>
      <c r="P17" s="74">
        <f t="shared" si="6"/>
        <v>0</v>
      </c>
      <c r="Q17" s="109">
        <v>0</v>
      </c>
      <c r="R17" s="109">
        <f t="shared" si="7"/>
        <v>0.61478345104189702</v>
      </c>
      <c r="S17" s="114">
        <v>5064500</v>
      </c>
      <c r="T17" s="111"/>
      <c r="U17" s="111"/>
      <c r="V17" s="111"/>
      <c r="W17" s="111"/>
      <c r="X17" s="112">
        <f t="shared" si="8"/>
        <v>0.61478345104189702</v>
      </c>
      <c r="Y17" s="145">
        <f t="shared" si="10"/>
        <v>5064500</v>
      </c>
      <c r="Z17" s="146">
        <f t="shared" si="3"/>
        <v>0.61478345104189702</v>
      </c>
      <c r="AA17" s="147">
        <f t="shared" si="4"/>
        <v>5064500</v>
      </c>
      <c r="AB17" s="148">
        <f t="shared" si="5"/>
        <v>0</v>
      </c>
      <c r="AC17" s="149">
        <f t="shared" si="9"/>
        <v>8.2332859174964398E-2</v>
      </c>
      <c r="AD17" s="527"/>
      <c r="AE17" s="150"/>
    </row>
    <row r="18" spans="1:31" s="1" customFormat="1" ht="75">
      <c r="A18" s="27"/>
      <c r="B18" s="28"/>
      <c r="C18" s="28"/>
      <c r="D18" s="405" t="s">
        <v>48</v>
      </c>
      <c r="E18" s="29" t="s">
        <v>49</v>
      </c>
      <c r="F18" s="29" t="s">
        <v>50</v>
      </c>
      <c r="G18" s="30">
        <v>9</v>
      </c>
      <c r="H18" s="31" t="s">
        <v>41</v>
      </c>
      <c r="I18" s="75">
        <v>76890625</v>
      </c>
      <c r="J18" s="30"/>
      <c r="K18" s="31"/>
      <c r="L18" s="28"/>
      <c r="M18" s="71">
        <v>1</v>
      </c>
      <c r="N18" s="72"/>
      <c r="O18" s="73">
        <v>2853600</v>
      </c>
      <c r="P18" s="74">
        <f t="shared" si="6"/>
        <v>0</v>
      </c>
      <c r="Q18" s="109">
        <v>0</v>
      </c>
      <c r="R18" s="109">
        <f t="shared" si="7"/>
        <v>0.41834875245304198</v>
      </c>
      <c r="S18" s="114">
        <v>1193800</v>
      </c>
      <c r="T18" s="111"/>
      <c r="U18" s="111"/>
      <c r="V18" s="111"/>
      <c r="W18" s="111"/>
      <c r="X18" s="112">
        <f t="shared" si="8"/>
        <v>0.41834875245304198</v>
      </c>
      <c r="Y18" s="145">
        <f t="shared" si="10"/>
        <v>1193800</v>
      </c>
      <c r="Z18" s="146">
        <f t="shared" si="3"/>
        <v>0.41834875245304198</v>
      </c>
      <c r="AA18" s="147">
        <f t="shared" si="4"/>
        <v>1193800</v>
      </c>
      <c r="AB18" s="148">
        <f t="shared" si="5"/>
        <v>0</v>
      </c>
      <c r="AC18" s="149">
        <f t="shared" si="9"/>
        <v>1.5525950010160499E-2</v>
      </c>
      <c r="AD18" s="527"/>
      <c r="AE18" s="150"/>
    </row>
    <row r="19" spans="1:31" s="1" customFormat="1" ht="90">
      <c r="A19" s="27"/>
      <c r="B19" s="28"/>
      <c r="C19" s="28"/>
      <c r="D19" s="405" t="s">
        <v>51</v>
      </c>
      <c r="E19" s="29" t="s">
        <v>52</v>
      </c>
      <c r="F19" s="29" t="s">
        <v>53</v>
      </c>
      <c r="G19" s="30">
        <v>6</v>
      </c>
      <c r="H19" s="31" t="s">
        <v>41</v>
      </c>
      <c r="I19" s="75">
        <v>73815000</v>
      </c>
      <c r="J19" s="30"/>
      <c r="K19" s="31"/>
      <c r="L19" s="28"/>
      <c r="M19" s="71">
        <v>2</v>
      </c>
      <c r="N19" s="72"/>
      <c r="O19" s="73">
        <v>5665000</v>
      </c>
      <c r="P19" s="74">
        <f t="shared" si="6"/>
        <v>0</v>
      </c>
      <c r="Q19" s="109">
        <v>0</v>
      </c>
      <c r="R19" s="109">
        <f t="shared" si="7"/>
        <v>0.93556928508384796</v>
      </c>
      <c r="S19" s="114">
        <v>5300000</v>
      </c>
      <c r="T19" s="111"/>
      <c r="U19" s="111"/>
      <c r="V19" s="111"/>
      <c r="W19" s="111"/>
      <c r="X19" s="112">
        <f t="shared" si="8"/>
        <v>0.93556928508384796</v>
      </c>
      <c r="Y19" s="145">
        <f t="shared" si="10"/>
        <v>5300000</v>
      </c>
      <c r="Z19" s="146">
        <f t="shared" si="3"/>
        <v>0.93556928508384796</v>
      </c>
      <c r="AA19" s="147">
        <f t="shared" si="4"/>
        <v>5300000</v>
      </c>
      <c r="AB19" s="148">
        <f t="shared" si="5"/>
        <v>0</v>
      </c>
      <c r="AC19" s="149">
        <f t="shared" si="9"/>
        <v>7.1801124432703395E-2</v>
      </c>
      <c r="AD19" s="527"/>
      <c r="AE19" s="150"/>
    </row>
    <row r="20" spans="1:31" s="1" customFormat="1" ht="120">
      <c r="A20" s="27"/>
      <c r="B20" s="28"/>
      <c r="C20" s="28"/>
      <c r="D20" s="405" t="s">
        <v>54</v>
      </c>
      <c r="E20" s="29" t="s">
        <v>55</v>
      </c>
      <c r="F20" s="29" t="s">
        <v>56</v>
      </c>
      <c r="G20" s="30">
        <v>3</v>
      </c>
      <c r="H20" s="31" t="s">
        <v>57</v>
      </c>
      <c r="I20" s="75">
        <v>922687500</v>
      </c>
      <c r="J20" s="30"/>
      <c r="K20" s="31"/>
      <c r="L20" s="28"/>
      <c r="M20" s="71">
        <v>1</v>
      </c>
      <c r="N20" s="72"/>
      <c r="O20" s="73">
        <v>10560000</v>
      </c>
      <c r="P20" s="74">
        <f t="shared" si="6"/>
        <v>0</v>
      </c>
      <c r="Q20" s="109">
        <v>0</v>
      </c>
      <c r="R20" s="109">
        <f t="shared" si="7"/>
        <v>0.77433712121212095</v>
      </c>
      <c r="S20" s="114">
        <v>8177000</v>
      </c>
      <c r="T20" s="111"/>
      <c r="U20" s="111"/>
      <c r="V20" s="111"/>
      <c r="W20" s="111"/>
      <c r="X20" s="112">
        <f t="shared" si="8"/>
        <v>0.77433712121212095</v>
      </c>
      <c r="Y20" s="145">
        <f t="shared" si="10"/>
        <v>8177000</v>
      </c>
      <c r="Z20" s="146">
        <f t="shared" si="3"/>
        <v>0.77433712121212095</v>
      </c>
      <c r="AA20" s="147">
        <f t="shared" si="4"/>
        <v>8177000</v>
      </c>
      <c r="AB20" s="148">
        <f t="shared" si="5"/>
        <v>0</v>
      </c>
      <c r="AC20" s="149">
        <f t="shared" si="9"/>
        <v>8.8621553884711806E-3</v>
      </c>
      <c r="AD20" s="527"/>
      <c r="AE20" s="150"/>
    </row>
    <row r="21" spans="1:31" s="1" customFormat="1" ht="89.25">
      <c r="A21" s="22"/>
      <c r="B21" s="23"/>
      <c r="C21" s="23"/>
      <c r="D21" s="23"/>
      <c r="E21" s="24" t="s">
        <v>58</v>
      </c>
      <c r="F21" s="32"/>
      <c r="G21" s="25"/>
      <c r="H21" s="26"/>
      <c r="I21" s="66">
        <f>I22</f>
        <v>615125000</v>
      </c>
      <c r="J21" s="25"/>
      <c r="K21" s="26"/>
      <c r="L21" s="66">
        <f>L22</f>
        <v>0</v>
      </c>
      <c r="M21" s="67"/>
      <c r="N21" s="68"/>
      <c r="O21" s="66">
        <f>O22</f>
        <v>1539240</v>
      </c>
      <c r="P21" s="74">
        <f t="shared" si="6"/>
        <v>0</v>
      </c>
      <c r="Q21" s="106">
        <f>0+Q22</f>
        <v>0</v>
      </c>
      <c r="R21" s="109">
        <f t="shared" si="7"/>
        <v>0.99724539383072197</v>
      </c>
      <c r="S21" s="113">
        <f>S22</f>
        <v>1535000</v>
      </c>
      <c r="T21" s="23"/>
      <c r="U21" s="23"/>
      <c r="V21" s="23"/>
      <c r="W21" s="23"/>
      <c r="X21" s="115">
        <f t="shared" si="8"/>
        <v>0.99724539383072197</v>
      </c>
      <c r="Y21" s="107">
        <f t="shared" si="10"/>
        <v>1535000</v>
      </c>
      <c r="Z21" s="141">
        <f t="shared" si="3"/>
        <v>0.99724539383072197</v>
      </c>
      <c r="AA21" s="142">
        <f t="shared" si="4"/>
        <v>1535000</v>
      </c>
      <c r="AB21" s="143">
        <f t="shared" si="5"/>
        <v>0</v>
      </c>
      <c r="AC21" s="151">
        <f t="shared" si="9"/>
        <v>2.4954277585856502E-3</v>
      </c>
      <c r="AD21" s="527"/>
      <c r="AE21" s="144"/>
    </row>
    <row r="22" spans="1:31" s="1" customFormat="1" ht="75">
      <c r="A22" s="27"/>
      <c r="B22" s="28"/>
      <c r="C22" s="28"/>
      <c r="D22" s="405" t="s">
        <v>60</v>
      </c>
      <c r="E22" s="29" t="s">
        <v>61</v>
      </c>
      <c r="F22" s="29" t="s">
        <v>62</v>
      </c>
      <c r="G22" s="30">
        <v>63</v>
      </c>
      <c r="H22" s="31" t="s">
        <v>63</v>
      </c>
      <c r="I22" s="75">
        <v>615125000</v>
      </c>
      <c r="J22" s="30"/>
      <c r="K22" s="31"/>
      <c r="L22" s="28"/>
      <c r="M22" s="71">
        <v>1</v>
      </c>
      <c r="N22" s="72"/>
      <c r="O22" s="73">
        <v>1539240</v>
      </c>
      <c r="P22" s="74">
        <f t="shared" si="6"/>
        <v>0</v>
      </c>
      <c r="Q22" s="109"/>
      <c r="R22" s="109">
        <f t="shared" si="7"/>
        <v>0.99724539383072197</v>
      </c>
      <c r="S22" s="114">
        <v>1535000</v>
      </c>
      <c r="T22" s="111"/>
      <c r="U22" s="111"/>
      <c r="V22" s="111"/>
      <c r="W22" s="111"/>
      <c r="X22" s="112">
        <f t="shared" si="8"/>
        <v>0.99724539383072197</v>
      </c>
      <c r="Y22" s="145">
        <f t="shared" si="10"/>
        <v>1535000</v>
      </c>
      <c r="Z22" s="146">
        <f t="shared" si="3"/>
        <v>0.99724539383072197</v>
      </c>
      <c r="AA22" s="147">
        <f t="shared" si="4"/>
        <v>1535000</v>
      </c>
      <c r="AB22" s="148">
        <f t="shared" si="5"/>
        <v>0</v>
      </c>
      <c r="AC22" s="149">
        <f t="shared" si="9"/>
        <v>2.4954277585856502E-3</v>
      </c>
      <c r="AD22" s="527"/>
      <c r="AE22" s="150"/>
    </row>
    <row r="23" spans="1:31" s="1" customFormat="1" ht="63.75">
      <c r="A23" s="22"/>
      <c r="B23" s="23"/>
      <c r="C23" s="23"/>
      <c r="D23" s="23"/>
      <c r="E23" s="24" t="s">
        <v>65</v>
      </c>
      <c r="F23" s="32"/>
      <c r="G23" s="25"/>
      <c r="H23" s="26"/>
      <c r="I23" s="66">
        <f>0+I24+I25+I26</f>
        <v>595963856</v>
      </c>
      <c r="J23" s="25"/>
      <c r="K23" s="26"/>
      <c r="L23" s="66">
        <f>0+L24+L25+L26</f>
        <v>0</v>
      </c>
      <c r="M23" s="67"/>
      <c r="N23" s="68"/>
      <c r="O23" s="66">
        <f>0+O24+O25+O26</f>
        <v>185488400</v>
      </c>
      <c r="P23" s="74">
        <f t="shared" si="6"/>
        <v>0.225017914866913</v>
      </c>
      <c r="Q23" s="106">
        <f t="shared" ref="Q23" si="11">0+Q24+Q25+Q26</f>
        <v>41738213</v>
      </c>
      <c r="R23" s="109">
        <f t="shared" si="7"/>
        <v>0.28248883488131898</v>
      </c>
      <c r="S23" s="113">
        <f>SUM(S24:S26)</f>
        <v>52398402</v>
      </c>
      <c r="T23" s="23"/>
      <c r="U23" s="23"/>
      <c r="V23" s="23"/>
      <c r="W23" s="23"/>
      <c r="X23" s="108">
        <f t="shared" si="8"/>
        <v>0.50750674974823196</v>
      </c>
      <c r="Y23" s="107">
        <f t="shared" si="10"/>
        <v>94136615</v>
      </c>
      <c r="Z23" s="152">
        <f t="shared" si="3"/>
        <v>0.50750674974823196</v>
      </c>
      <c r="AA23" s="153">
        <f t="shared" si="4"/>
        <v>94136615</v>
      </c>
      <c r="AB23" s="154">
        <f t="shared" si="5"/>
        <v>0</v>
      </c>
      <c r="AC23" s="155">
        <f t="shared" si="9"/>
        <v>0.157956919790116</v>
      </c>
      <c r="AD23" s="527"/>
      <c r="AE23" s="144"/>
    </row>
    <row r="24" spans="1:31" s="1" customFormat="1" ht="75">
      <c r="A24" s="27"/>
      <c r="B24" s="28"/>
      <c r="C24" s="28"/>
      <c r="D24" s="405" t="s">
        <v>69</v>
      </c>
      <c r="E24" s="29" t="s">
        <v>70</v>
      </c>
      <c r="F24" s="29" t="s">
        <v>71</v>
      </c>
      <c r="G24" s="30">
        <v>3</v>
      </c>
      <c r="H24" s="31" t="s">
        <v>57</v>
      </c>
      <c r="I24" s="75">
        <v>7289231</v>
      </c>
      <c r="J24" s="30"/>
      <c r="K24" s="31"/>
      <c r="L24" s="28"/>
      <c r="M24" s="71">
        <v>1</v>
      </c>
      <c r="N24" s="72"/>
      <c r="O24" s="73">
        <v>600000</v>
      </c>
      <c r="P24" s="74">
        <f t="shared" si="6"/>
        <v>0</v>
      </c>
      <c r="Q24" s="109">
        <v>0</v>
      </c>
      <c r="R24" s="109">
        <f t="shared" si="7"/>
        <v>1</v>
      </c>
      <c r="S24" s="114">
        <v>600000</v>
      </c>
      <c r="T24" s="111"/>
      <c r="U24" s="111"/>
      <c r="V24" s="111"/>
      <c r="W24" s="111"/>
      <c r="X24" s="112">
        <f t="shared" si="8"/>
        <v>1</v>
      </c>
      <c r="Y24" s="145">
        <f t="shared" si="10"/>
        <v>600000</v>
      </c>
      <c r="Z24" s="146">
        <f t="shared" si="3"/>
        <v>1</v>
      </c>
      <c r="AA24" s="147">
        <f t="shared" si="4"/>
        <v>600000</v>
      </c>
      <c r="AB24" s="148">
        <f t="shared" si="5"/>
        <v>0</v>
      </c>
      <c r="AC24" s="149">
        <f t="shared" si="9"/>
        <v>8.2313209719927893E-2</v>
      </c>
      <c r="AD24" s="527"/>
      <c r="AE24" s="150"/>
    </row>
    <row r="25" spans="1:31" s="1" customFormat="1" ht="135">
      <c r="A25" s="27"/>
      <c r="B25" s="28"/>
      <c r="C25" s="28"/>
      <c r="D25" s="405" t="s">
        <v>73</v>
      </c>
      <c r="E25" s="29" t="s">
        <v>74</v>
      </c>
      <c r="F25" s="29" t="s">
        <v>75</v>
      </c>
      <c r="G25" s="30">
        <v>3</v>
      </c>
      <c r="H25" s="31" t="s">
        <v>57</v>
      </c>
      <c r="I25" s="75">
        <v>587444375</v>
      </c>
      <c r="J25" s="30"/>
      <c r="K25" s="31"/>
      <c r="L25" s="28"/>
      <c r="M25" s="71">
        <v>1</v>
      </c>
      <c r="N25" s="72"/>
      <c r="O25" s="73">
        <v>33000000</v>
      </c>
      <c r="P25" s="74">
        <f t="shared" si="6"/>
        <v>0.12540039393939401</v>
      </c>
      <c r="Q25" s="109">
        <v>4138213</v>
      </c>
      <c r="R25" s="109">
        <f t="shared" si="7"/>
        <v>0.29692127272727298</v>
      </c>
      <c r="S25" s="114">
        <f>6651082+3147320</f>
        <v>9798402</v>
      </c>
      <c r="T25" s="111"/>
      <c r="U25" s="111"/>
      <c r="V25" s="111"/>
      <c r="W25" s="111"/>
      <c r="X25" s="112">
        <f t="shared" si="8"/>
        <v>0.42232166666666698</v>
      </c>
      <c r="Y25" s="145">
        <f t="shared" si="10"/>
        <v>13936615</v>
      </c>
      <c r="Z25" s="146">
        <f t="shared" si="3"/>
        <v>0.42232166666666698</v>
      </c>
      <c r="AA25" s="147">
        <f t="shared" si="4"/>
        <v>13936615</v>
      </c>
      <c r="AB25" s="148">
        <f t="shared" si="5"/>
        <v>0</v>
      </c>
      <c r="AC25" s="149">
        <f t="shared" si="9"/>
        <v>2.3724144094494099E-2</v>
      </c>
      <c r="AD25" s="527"/>
      <c r="AE25" s="150"/>
    </row>
    <row r="26" spans="1:31" s="1" customFormat="1" ht="120">
      <c r="A26" s="27"/>
      <c r="B26" s="28"/>
      <c r="C26" s="28"/>
      <c r="D26" s="405" t="s">
        <v>77</v>
      </c>
      <c r="E26" s="29" t="s">
        <v>78</v>
      </c>
      <c r="F26" s="29" t="s">
        <v>79</v>
      </c>
      <c r="G26" s="30">
        <v>3</v>
      </c>
      <c r="H26" s="31" t="s">
        <v>57</v>
      </c>
      <c r="I26" s="75">
        <v>1230250</v>
      </c>
      <c r="J26" s="30"/>
      <c r="K26" s="31"/>
      <c r="L26" s="28"/>
      <c r="M26" s="71">
        <v>1</v>
      </c>
      <c r="N26" s="72"/>
      <c r="O26" s="73">
        <v>151888400</v>
      </c>
      <c r="P26" s="74">
        <f t="shared" si="6"/>
        <v>0.24755017499690599</v>
      </c>
      <c r="Q26" s="109">
        <v>37600000</v>
      </c>
      <c r="R26" s="109">
        <f t="shared" si="7"/>
        <v>0.27651881249654398</v>
      </c>
      <c r="S26" s="114">
        <f>28000000+14000000</f>
        <v>42000000</v>
      </c>
      <c r="T26" s="111"/>
      <c r="U26" s="111"/>
      <c r="V26" s="111"/>
      <c r="W26" s="111"/>
      <c r="X26" s="112">
        <f t="shared" si="8"/>
        <v>0.52406898749344899</v>
      </c>
      <c r="Y26" s="145">
        <f t="shared" si="10"/>
        <v>79600000</v>
      </c>
      <c r="Z26" s="146">
        <f t="shared" si="3"/>
        <v>0.52406898749344899</v>
      </c>
      <c r="AA26" s="147">
        <f t="shared" si="4"/>
        <v>79600000</v>
      </c>
      <c r="AB26" s="148">
        <f t="shared" si="5"/>
        <v>0</v>
      </c>
      <c r="AC26" s="149">
        <f t="shared" si="9"/>
        <v>64.702296281243605</v>
      </c>
      <c r="AD26" s="527"/>
      <c r="AE26" s="150"/>
    </row>
    <row r="27" spans="1:31" s="1" customFormat="1" ht="89.25">
      <c r="A27" s="22"/>
      <c r="B27" s="23"/>
      <c r="C27" s="23"/>
      <c r="D27" s="23"/>
      <c r="E27" s="24" t="s">
        <v>80</v>
      </c>
      <c r="F27" s="32"/>
      <c r="G27" s="25"/>
      <c r="H27" s="26"/>
      <c r="I27" s="66">
        <f>0+I28+I29+I30</f>
        <v>417454581</v>
      </c>
      <c r="J27" s="25"/>
      <c r="K27" s="26"/>
      <c r="L27" s="66">
        <f>0+L28+L29+L30</f>
        <v>0</v>
      </c>
      <c r="M27" s="67"/>
      <c r="N27" s="68"/>
      <c r="O27" s="66">
        <f>0+O28+O29+O30</f>
        <v>46330000</v>
      </c>
      <c r="P27" s="74">
        <f t="shared" si="6"/>
        <v>0.25577379667602002</v>
      </c>
      <c r="Q27" s="106">
        <f>0+Q28+Q29+Q30</f>
        <v>11850000</v>
      </c>
      <c r="R27" s="109">
        <f t="shared" si="7"/>
        <v>0.36859356788258102</v>
      </c>
      <c r="S27" s="113">
        <f>SUM(S28:S30)</f>
        <v>17076940</v>
      </c>
      <c r="T27" s="23"/>
      <c r="U27" s="23"/>
      <c r="V27" s="23"/>
      <c r="W27" s="23"/>
      <c r="X27" s="108">
        <f t="shared" si="8"/>
        <v>0.62436736455860098</v>
      </c>
      <c r="Y27" s="107">
        <f t="shared" si="10"/>
        <v>28926940</v>
      </c>
      <c r="Z27" s="152">
        <f t="shared" si="3"/>
        <v>0.62436736455860098</v>
      </c>
      <c r="AA27" s="153">
        <f t="shared" si="4"/>
        <v>28926940</v>
      </c>
      <c r="AB27" s="154">
        <f t="shared" si="5"/>
        <v>0</v>
      </c>
      <c r="AC27" s="155">
        <f t="shared" si="9"/>
        <v>6.9293622148561398E-2</v>
      </c>
      <c r="AD27" s="527"/>
      <c r="AE27" s="144"/>
    </row>
    <row r="28" spans="1:31" s="1" customFormat="1" ht="165">
      <c r="A28" s="27"/>
      <c r="B28" s="28"/>
      <c r="C28" s="28"/>
      <c r="D28" s="405" t="s">
        <v>83</v>
      </c>
      <c r="E28" s="29" t="s">
        <v>84</v>
      </c>
      <c r="F28" s="29" t="s">
        <v>85</v>
      </c>
      <c r="G28" s="30">
        <v>3</v>
      </c>
      <c r="H28" s="31" t="s">
        <v>86</v>
      </c>
      <c r="I28" s="75">
        <v>103217975</v>
      </c>
      <c r="J28" s="30"/>
      <c r="K28" s="31"/>
      <c r="L28" s="28"/>
      <c r="M28" s="71">
        <v>1</v>
      </c>
      <c r="N28" s="72"/>
      <c r="O28" s="73">
        <v>19000000</v>
      </c>
      <c r="P28" s="74">
        <f t="shared" si="6"/>
        <v>0.33157894736842097</v>
      </c>
      <c r="Q28" s="109">
        <v>6300000</v>
      </c>
      <c r="R28" s="109">
        <f t="shared" si="7"/>
        <v>0.32089157894736797</v>
      </c>
      <c r="S28" s="114">
        <f>4256940+1840000</f>
        <v>6096940</v>
      </c>
      <c r="T28" s="111"/>
      <c r="U28" s="111"/>
      <c r="V28" s="111"/>
      <c r="W28" s="111"/>
      <c r="X28" s="112">
        <f t="shared" si="8"/>
        <v>0.65247052631578994</v>
      </c>
      <c r="Y28" s="145">
        <f t="shared" si="10"/>
        <v>12396940</v>
      </c>
      <c r="Z28" s="146">
        <f t="shared" si="3"/>
        <v>0.65247052631578994</v>
      </c>
      <c r="AA28" s="147">
        <f t="shared" si="4"/>
        <v>12396940</v>
      </c>
      <c r="AB28" s="148">
        <f t="shared" si="5"/>
        <v>0</v>
      </c>
      <c r="AC28" s="149">
        <f t="shared" si="9"/>
        <v>0.120104468238211</v>
      </c>
      <c r="AD28" s="527"/>
      <c r="AE28" s="150"/>
    </row>
    <row r="29" spans="1:31" s="1" customFormat="1" ht="180">
      <c r="A29" s="27"/>
      <c r="B29" s="28"/>
      <c r="C29" s="28"/>
      <c r="D29" s="405" t="s">
        <v>88</v>
      </c>
      <c r="E29" s="29" t="s">
        <v>89</v>
      </c>
      <c r="F29" s="29" t="s">
        <v>90</v>
      </c>
      <c r="G29" s="30">
        <v>21</v>
      </c>
      <c r="H29" s="31" t="s">
        <v>86</v>
      </c>
      <c r="I29" s="75">
        <v>264503750</v>
      </c>
      <c r="J29" s="30"/>
      <c r="K29" s="31"/>
      <c r="L29" s="28"/>
      <c r="M29" s="71">
        <v>7</v>
      </c>
      <c r="N29" s="72"/>
      <c r="O29" s="73">
        <v>21600000</v>
      </c>
      <c r="P29" s="74">
        <f t="shared" si="6"/>
        <v>0.25694444444444398</v>
      </c>
      <c r="Q29" s="109">
        <v>5550000</v>
      </c>
      <c r="R29" s="109">
        <f t="shared" si="7"/>
        <v>0.243055555555556</v>
      </c>
      <c r="S29" s="114">
        <f>3450000+1800000</f>
        <v>5250000</v>
      </c>
      <c r="T29" s="111"/>
      <c r="U29" s="111"/>
      <c r="V29" s="111"/>
      <c r="W29" s="111"/>
      <c r="X29" s="112">
        <f t="shared" si="8"/>
        <v>0.5</v>
      </c>
      <c r="Y29" s="145">
        <f t="shared" si="10"/>
        <v>10800000</v>
      </c>
      <c r="Z29" s="146">
        <f t="shared" si="3"/>
        <v>0.5</v>
      </c>
      <c r="AA29" s="147">
        <f t="shared" si="4"/>
        <v>10800000</v>
      </c>
      <c r="AB29" s="148">
        <f t="shared" si="5"/>
        <v>0</v>
      </c>
      <c r="AC29" s="149">
        <f t="shared" si="9"/>
        <v>4.0831179142072703E-2</v>
      </c>
      <c r="AD29" s="527"/>
      <c r="AE29" s="150"/>
    </row>
    <row r="30" spans="1:31" s="1" customFormat="1" ht="75">
      <c r="A30" s="27"/>
      <c r="B30" s="28"/>
      <c r="C30" s="28"/>
      <c r="D30" s="405" t="s">
        <v>92</v>
      </c>
      <c r="E30" s="29" t="s">
        <v>93</v>
      </c>
      <c r="F30" s="29" t="s">
        <v>94</v>
      </c>
      <c r="G30" s="30">
        <v>72</v>
      </c>
      <c r="H30" s="31"/>
      <c r="I30" s="75">
        <v>49732856</v>
      </c>
      <c r="J30" s="30"/>
      <c r="K30" s="31"/>
      <c r="L30" s="28"/>
      <c r="M30" s="71">
        <v>24</v>
      </c>
      <c r="N30" s="72"/>
      <c r="O30" s="73">
        <v>5730000</v>
      </c>
      <c r="P30" s="74">
        <f t="shared" si="6"/>
        <v>0</v>
      </c>
      <c r="Q30" s="109">
        <v>0</v>
      </c>
      <c r="R30" s="109">
        <f t="shared" si="7"/>
        <v>1</v>
      </c>
      <c r="S30" s="114">
        <v>5730000</v>
      </c>
      <c r="T30" s="111"/>
      <c r="U30" s="111"/>
      <c r="V30" s="111"/>
      <c r="W30" s="111"/>
      <c r="X30" s="112">
        <f t="shared" si="8"/>
        <v>1</v>
      </c>
      <c r="Y30" s="145">
        <f t="shared" si="10"/>
        <v>5730000</v>
      </c>
      <c r="Z30" s="146">
        <f t="shared" si="3"/>
        <v>1</v>
      </c>
      <c r="AA30" s="147">
        <f t="shared" si="4"/>
        <v>5730000</v>
      </c>
      <c r="AB30" s="148">
        <f t="shared" si="5"/>
        <v>0</v>
      </c>
      <c r="AC30" s="149">
        <f t="shared" si="9"/>
        <v>0.115215583034282</v>
      </c>
      <c r="AD30" s="527"/>
      <c r="AE30" s="150"/>
    </row>
    <row r="31" spans="1:31" s="1" customFormat="1" ht="75">
      <c r="A31" s="16"/>
      <c r="B31" s="17" t="s">
        <v>95</v>
      </c>
      <c r="C31" s="17" t="s">
        <v>96</v>
      </c>
      <c r="D31" s="18"/>
      <c r="E31" s="19" t="s">
        <v>97</v>
      </c>
      <c r="F31" s="33" t="s">
        <v>98</v>
      </c>
      <c r="G31" s="20"/>
      <c r="H31" s="21"/>
      <c r="I31" s="61">
        <f>I32+I34+I37</f>
        <v>2520000000</v>
      </c>
      <c r="J31" s="20"/>
      <c r="K31" s="21"/>
      <c r="L31" s="61">
        <f>L32+L34+L37</f>
        <v>403047650</v>
      </c>
      <c r="M31" s="63"/>
      <c r="N31" s="64"/>
      <c r="O31" s="61">
        <f>O32+O34+O37</f>
        <v>870751580</v>
      </c>
      <c r="P31" s="74">
        <f t="shared" si="6"/>
        <v>0</v>
      </c>
      <c r="Q31" s="103">
        <f t="shared" ref="Q31" si="12">0+Q32</f>
        <v>0</v>
      </c>
      <c r="R31" s="109">
        <f t="shared" si="7"/>
        <v>5.9631167134947899E-2</v>
      </c>
      <c r="S31" s="116">
        <f>S32+S34+S37</f>
        <v>51923933</v>
      </c>
      <c r="T31" s="18"/>
      <c r="U31" s="18"/>
      <c r="V31" s="18"/>
      <c r="W31" s="18"/>
      <c r="X31" s="105">
        <f t="shared" si="8"/>
        <v>5.9631167134947899E-2</v>
      </c>
      <c r="Y31" s="156">
        <f t="shared" si="10"/>
        <v>51923933</v>
      </c>
      <c r="Z31" s="157">
        <f t="shared" si="3"/>
        <v>5.9631167134947899E-2</v>
      </c>
      <c r="AA31" s="158">
        <f t="shared" si="4"/>
        <v>454971583</v>
      </c>
      <c r="AB31" s="159">
        <f t="shared" si="5"/>
        <v>0</v>
      </c>
      <c r="AC31" s="160">
        <f t="shared" si="9"/>
        <v>0.18054427896825401</v>
      </c>
      <c r="AD31" s="527"/>
      <c r="AE31" s="161"/>
    </row>
    <row r="32" spans="1:31" s="1" customFormat="1" ht="150">
      <c r="A32" s="22"/>
      <c r="B32" s="23"/>
      <c r="C32" s="23"/>
      <c r="D32" s="23"/>
      <c r="E32" s="34" t="s">
        <v>100</v>
      </c>
      <c r="F32" s="32" t="s">
        <v>101</v>
      </c>
      <c r="G32" s="25"/>
      <c r="H32" s="26"/>
      <c r="I32" s="66">
        <f>0+I33</f>
        <v>420000000</v>
      </c>
      <c r="J32" s="25"/>
      <c r="K32" s="26"/>
      <c r="L32" s="66">
        <f>0+L33</f>
        <v>220595042</v>
      </c>
      <c r="M32" s="67"/>
      <c r="N32" s="68"/>
      <c r="O32" s="66">
        <f>0+O33</f>
        <v>92049600</v>
      </c>
      <c r="P32" s="74">
        <f t="shared" si="6"/>
        <v>0</v>
      </c>
      <c r="Q32" s="106">
        <f>Q33</f>
        <v>0</v>
      </c>
      <c r="R32" s="109">
        <f t="shared" si="7"/>
        <v>0.182890094036259</v>
      </c>
      <c r="S32" s="113">
        <f>S33</f>
        <v>16834960</v>
      </c>
      <c r="T32" s="23"/>
      <c r="U32" s="23"/>
      <c r="V32" s="23"/>
      <c r="W32" s="23"/>
      <c r="X32" s="108">
        <f t="shared" si="8"/>
        <v>0.182890094036259</v>
      </c>
      <c r="Y32" s="107">
        <f t="shared" si="10"/>
        <v>16834960</v>
      </c>
      <c r="Z32" s="152">
        <f t="shared" si="3"/>
        <v>0.182890094036259</v>
      </c>
      <c r="AA32" s="153">
        <f t="shared" si="4"/>
        <v>237430002</v>
      </c>
      <c r="AB32" s="154">
        <f t="shared" si="5"/>
        <v>0</v>
      </c>
      <c r="AC32" s="155">
        <f t="shared" si="9"/>
        <v>0.56530952857142902</v>
      </c>
      <c r="AD32" s="527"/>
      <c r="AE32" s="144"/>
    </row>
    <row r="33" spans="1:34" s="1" customFormat="1" ht="105">
      <c r="A33" s="27"/>
      <c r="B33" s="28"/>
      <c r="C33" s="28"/>
      <c r="D33" s="405" t="s">
        <v>102</v>
      </c>
      <c r="E33" s="35" t="s">
        <v>103</v>
      </c>
      <c r="F33" s="29" t="s">
        <v>104</v>
      </c>
      <c r="G33" s="30">
        <v>3</v>
      </c>
      <c r="H33" s="31" t="s">
        <v>81</v>
      </c>
      <c r="I33" s="75">
        <v>420000000</v>
      </c>
      <c r="J33" s="30">
        <v>2</v>
      </c>
      <c r="K33" s="31"/>
      <c r="L33" s="76">
        <v>220595042</v>
      </c>
      <c r="M33" s="71">
        <v>1</v>
      </c>
      <c r="N33" s="72"/>
      <c r="O33" s="73">
        <v>92049600</v>
      </c>
      <c r="P33" s="74">
        <f t="shared" si="6"/>
        <v>0</v>
      </c>
      <c r="Q33" s="109">
        <v>0</v>
      </c>
      <c r="R33" s="109">
        <f t="shared" si="7"/>
        <v>0.182890094036259</v>
      </c>
      <c r="S33" s="114">
        <v>16834960</v>
      </c>
      <c r="T33" s="111"/>
      <c r="U33" s="111"/>
      <c r="V33" s="111"/>
      <c r="W33" s="111"/>
      <c r="X33" s="112">
        <f t="shared" si="8"/>
        <v>0.182890094036259</v>
      </c>
      <c r="Y33" s="145">
        <f t="shared" si="10"/>
        <v>16834960</v>
      </c>
      <c r="Z33" s="146">
        <f t="shared" si="3"/>
        <v>2.1828900940362601</v>
      </c>
      <c r="AA33" s="147">
        <f t="shared" si="4"/>
        <v>237430002</v>
      </c>
      <c r="AB33" s="148">
        <f t="shared" si="5"/>
        <v>9.1445047018129402E-2</v>
      </c>
      <c r="AC33" s="149">
        <f t="shared" si="9"/>
        <v>0.56530952857142902</v>
      </c>
      <c r="AD33" s="527"/>
      <c r="AE33" s="150"/>
    </row>
    <row r="34" spans="1:34" s="1" customFormat="1" ht="63.75">
      <c r="A34" s="22"/>
      <c r="B34" s="23"/>
      <c r="C34" s="23"/>
      <c r="D34" s="23"/>
      <c r="E34" s="24" t="s">
        <v>105</v>
      </c>
      <c r="F34" s="32"/>
      <c r="G34" s="25"/>
      <c r="H34" s="26"/>
      <c r="I34" s="66">
        <f>I35+I36</f>
        <v>1160000000</v>
      </c>
      <c r="J34" s="25"/>
      <c r="K34" s="26"/>
      <c r="L34" s="66">
        <f>L35+L36</f>
        <v>0</v>
      </c>
      <c r="M34" s="67"/>
      <c r="N34" s="68"/>
      <c r="O34" s="66">
        <f>O35+O36</f>
        <v>677710200</v>
      </c>
      <c r="P34" s="74">
        <f t="shared" si="6"/>
        <v>0</v>
      </c>
      <c r="Q34" s="106">
        <v>0</v>
      </c>
      <c r="R34" s="109">
        <f t="shared" si="7"/>
        <v>1.3830156311650601E-2</v>
      </c>
      <c r="S34" s="23">
        <f>SUM(S35:S36)</f>
        <v>9372838</v>
      </c>
      <c r="T34" s="23"/>
      <c r="U34" s="23"/>
      <c r="V34" s="23"/>
      <c r="W34" s="23"/>
      <c r="X34" s="115">
        <f t="shared" si="8"/>
        <v>1.3830156311650601E-2</v>
      </c>
      <c r="Y34" s="107">
        <f t="shared" si="10"/>
        <v>9372838</v>
      </c>
      <c r="Z34" s="152">
        <f t="shared" si="3"/>
        <v>1.3830156311650601E-2</v>
      </c>
      <c r="AA34" s="153">
        <f t="shared" si="4"/>
        <v>9372838</v>
      </c>
      <c r="AB34" s="154">
        <f t="shared" si="5"/>
        <v>0</v>
      </c>
      <c r="AC34" s="155">
        <f t="shared" si="9"/>
        <v>8.0800327586206897E-3</v>
      </c>
      <c r="AD34" s="527"/>
      <c r="AE34" s="144"/>
    </row>
    <row r="35" spans="1:34" s="1" customFormat="1" ht="150">
      <c r="A35" s="27"/>
      <c r="B35" s="28"/>
      <c r="C35" s="28"/>
      <c r="D35" s="405" t="s">
        <v>107</v>
      </c>
      <c r="E35" s="36" t="s">
        <v>108</v>
      </c>
      <c r="F35" s="36" t="s">
        <v>109</v>
      </c>
      <c r="G35" s="30">
        <v>1</v>
      </c>
      <c r="H35" s="31" t="s">
        <v>81</v>
      </c>
      <c r="I35" s="75">
        <v>180000000</v>
      </c>
      <c r="J35" s="30"/>
      <c r="K35" s="31"/>
      <c r="L35" s="28"/>
      <c r="M35" s="71">
        <v>1</v>
      </c>
      <c r="N35" s="72"/>
      <c r="O35" s="73">
        <v>146352700</v>
      </c>
      <c r="P35" s="74">
        <f t="shared" si="6"/>
        <v>0</v>
      </c>
      <c r="Q35" s="109">
        <v>0</v>
      </c>
      <c r="R35" s="109">
        <f t="shared" si="7"/>
        <v>2.8014515618775701E-2</v>
      </c>
      <c r="S35" s="117">
        <v>4100000</v>
      </c>
      <c r="T35" s="111"/>
      <c r="U35" s="111"/>
      <c r="V35" s="111"/>
      <c r="W35" s="111"/>
      <c r="X35" s="112">
        <f t="shared" si="8"/>
        <v>2.8014515618775701E-2</v>
      </c>
      <c r="Y35" s="145">
        <f t="shared" si="10"/>
        <v>4100000</v>
      </c>
      <c r="Z35" s="146">
        <f t="shared" si="3"/>
        <v>2.8014515618775701E-2</v>
      </c>
      <c r="AA35" s="147">
        <f t="shared" si="4"/>
        <v>4100000</v>
      </c>
      <c r="AB35" s="148">
        <f t="shared" si="5"/>
        <v>0</v>
      </c>
      <c r="AC35" s="149">
        <f t="shared" si="9"/>
        <v>2.27777777777778E-2</v>
      </c>
      <c r="AD35" s="527"/>
      <c r="AE35" s="150"/>
    </row>
    <row r="36" spans="1:34" s="1" customFormat="1" ht="120">
      <c r="A36" s="27"/>
      <c r="B36" s="28"/>
      <c r="C36" s="28"/>
      <c r="D36" s="405" t="s">
        <v>111</v>
      </c>
      <c r="E36" s="36" t="s">
        <v>112</v>
      </c>
      <c r="F36" s="36" t="s">
        <v>113</v>
      </c>
      <c r="G36" s="30">
        <v>2</v>
      </c>
      <c r="H36" s="31" t="s">
        <v>81</v>
      </c>
      <c r="I36" s="75">
        <v>980000000</v>
      </c>
      <c r="J36" s="30"/>
      <c r="K36" s="31"/>
      <c r="L36" s="28"/>
      <c r="M36" s="71">
        <v>1</v>
      </c>
      <c r="N36" s="72"/>
      <c r="O36" s="73">
        <v>531357500</v>
      </c>
      <c r="P36" s="74">
        <f t="shared" si="6"/>
        <v>0</v>
      </c>
      <c r="Q36" s="109">
        <v>0</v>
      </c>
      <c r="R36" s="109">
        <f t="shared" si="7"/>
        <v>9.9233341018052802E-3</v>
      </c>
      <c r="S36" s="117">
        <f>5272838</f>
        <v>5272838</v>
      </c>
      <c r="T36" s="111"/>
      <c r="U36" s="111"/>
      <c r="V36" s="111"/>
      <c r="W36" s="111"/>
      <c r="X36" s="112">
        <f t="shared" si="8"/>
        <v>9.9233341018052802E-3</v>
      </c>
      <c r="Y36" s="145">
        <f t="shared" si="10"/>
        <v>5272838</v>
      </c>
      <c r="Z36" s="146">
        <f t="shared" si="3"/>
        <v>9.9233341018052802E-3</v>
      </c>
      <c r="AA36" s="147">
        <f t="shared" si="4"/>
        <v>5272838</v>
      </c>
      <c r="AB36" s="148">
        <f t="shared" si="5"/>
        <v>0</v>
      </c>
      <c r="AC36" s="149">
        <f t="shared" si="9"/>
        <v>5.3804469387755101E-3</v>
      </c>
      <c r="AD36" s="527"/>
      <c r="AE36" s="150"/>
    </row>
    <row r="37" spans="1:34" s="1" customFormat="1" ht="75">
      <c r="A37" s="22"/>
      <c r="B37" s="23"/>
      <c r="C37" s="23"/>
      <c r="D37" s="23"/>
      <c r="E37" s="24" t="s">
        <v>114</v>
      </c>
      <c r="F37" s="32" t="s">
        <v>115</v>
      </c>
      <c r="G37" s="25"/>
      <c r="H37" s="26"/>
      <c r="I37" s="66">
        <f>0+I39+I38</f>
        <v>940000000</v>
      </c>
      <c r="J37" s="25"/>
      <c r="K37" s="26"/>
      <c r="L37" s="66">
        <f>0+L39+L38</f>
        <v>182452608</v>
      </c>
      <c r="M37" s="77"/>
      <c r="N37" s="78">
        <f t="shared" ref="N37:O37" si="13">0+N39+N38</f>
        <v>0</v>
      </c>
      <c r="O37" s="66">
        <f t="shared" si="13"/>
        <v>100991780</v>
      </c>
      <c r="P37" s="74">
        <f>SUM(P38:P39)</f>
        <v>0</v>
      </c>
      <c r="Q37" s="106">
        <f>Q39</f>
        <v>0</v>
      </c>
      <c r="R37" s="109">
        <f>SUM(R38:R39)</f>
        <v>0.254635921854234</v>
      </c>
      <c r="S37" s="113">
        <f>S39+S38</f>
        <v>25716135</v>
      </c>
      <c r="T37" s="23"/>
      <c r="U37" s="23"/>
      <c r="V37" s="23"/>
      <c r="W37" s="23"/>
      <c r="X37" s="115">
        <f t="shared" si="8"/>
        <v>0.254635921854234</v>
      </c>
      <c r="Y37" s="107">
        <f t="shared" si="10"/>
        <v>25716135</v>
      </c>
      <c r="Z37" s="152">
        <f t="shared" si="3"/>
        <v>0.254635921854234</v>
      </c>
      <c r="AA37" s="153">
        <f t="shared" si="4"/>
        <v>208168743</v>
      </c>
      <c r="AB37" s="154">
        <f t="shared" si="5"/>
        <v>0</v>
      </c>
      <c r="AC37" s="155">
        <f t="shared" si="9"/>
        <v>0.22145610957446801</v>
      </c>
      <c r="AD37" s="527"/>
      <c r="AE37" s="144"/>
    </row>
    <row r="38" spans="1:34" s="1" customFormat="1" ht="115.9" customHeight="1">
      <c r="A38" s="37"/>
      <c r="B38" s="38"/>
      <c r="C38" s="38"/>
      <c r="D38" s="405" t="s">
        <v>117</v>
      </c>
      <c r="E38" s="39" t="s">
        <v>118</v>
      </c>
      <c r="F38" s="36" t="s">
        <v>119</v>
      </c>
      <c r="G38" s="30">
        <v>3</v>
      </c>
      <c r="H38" s="31" t="s">
        <v>81</v>
      </c>
      <c r="I38" s="75">
        <v>500000000</v>
      </c>
      <c r="J38" s="30">
        <v>2</v>
      </c>
      <c r="K38" s="31"/>
      <c r="L38" s="79">
        <v>150018608</v>
      </c>
      <c r="M38" s="71">
        <v>1</v>
      </c>
      <c r="N38" s="72"/>
      <c r="O38" s="73">
        <v>100991780</v>
      </c>
      <c r="P38" s="74">
        <f t="shared" ref="P38" si="14">Q38/O38</f>
        <v>0</v>
      </c>
      <c r="Q38" s="109">
        <v>0</v>
      </c>
      <c r="R38" s="109">
        <f t="shared" ref="R38" si="15">+S38/O38</f>
        <v>0.254635921854234</v>
      </c>
      <c r="S38" s="114">
        <f>3983600+21732535</f>
        <v>25716135</v>
      </c>
      <c r="T38" s="111"/>
      <c r="U38" s="111"/>
      <c r="V38" s="111"/>
      <c r="W38" s="111"/>
      <c r="X38" s="112">
        <f t="shared" ref="X38" si="16">+P38+R38+T38+V38</f>
        <v>0.254635921854234</v>
      </c>
      <c r="Y38" s="145">
        <f t="shared" ref="Y38" si="17">SUM(Q38,S38,U38,W38)</f>
        <v>25716135</v>
      </c>
      <c r="Z38" s="146">
        <f t="shared" ref="Z38" si="18">X38+J38</f>
        <v>2.2546359218542298</v>
      </c>
      <c r="AA38" s="147">
        <f t="shared" ref="AA38" si="19">Y38+L38</f>
        <v>175734743</v>
      </c>
      <c r="AB38" s="148">
        <f t="shared" ref="AB38" si="20">IFERROR(X38/J38,0)</f>
        <v>0.127317960927117</v>
      </c>
      <c r="AC38" s="149">
        <f t="shared" si="9"/>
        <v>0.351469486</v>
      </c>
      <c r="AD38" s="527"/>
      <c r="AE38" s="162"/>
    </row>
    <row r="39" spans="1:34" s="1" customFormat="1" ht="130.9" customHeight="1">
      <c r="A39" s="27"/>
      <c r="B39" s="28"/>
      <c r="C39" s="28"/>
      <c r="D39" s="40" t="s">
        <v>121</v>
      </c>
      <c r="E39" s="41" t="s">
        <v>122</v>
      </c>
      <c r="F39" s="41" t="s">
        <v>123</v>
      </c>
      <c r="G39" s="42">
        <v>3</v>
      </c>
      <c r="H39" s="31" t="s">
        <v>81</v>
      </c>
      <c r="I39" s="80">
        <v>440000000</v>
      </c>
      <c r="J39" s="30">
        <v>1</v>
      </c>
      <c r="K39" s="31"/>
      <c r="L39" s="80">
        <v>32434000</v>
      </c>
      <c r="M39" s="71">
        <v>0</v>
      </c>
      <c r="N39" s="72"/>
      <c r="O39" s="73">
        <v>0</v>
      </c>
      <c r="P39" s="74">
        <v>0</v>
      </c>
      <c r="Q39" s="109">
        <v>0</v>
      </c>
      <c r="R39" s="109">
        <v>0</v>
      </c>
      <c r="S39" s="114">
        <v>0</v>
      </c>
      <c r="T39" s="111"/>
      <c r="U39" s="111"/>
      <c r="V39" s="111"/>
      <c r="W39" s="111"/>
      <c r="X39" s="112">
        <f t="shared" si="8"/>
        <v>0</v>
      </c>
      <c r="Y39" s="145">
        <f t="shared" si="10"/>
        <v>0</v>
      </c>
      <c r="Z39" s="146">
        <f t="shared" si="3"/>
        <v>1</v>
      </c>
      <c r="AA39" s="147">
        <f t="shared" si="4"/>
        <v>32434000</v>
      </c>
      <c r="AB39" s="148">
        <f t="shared" si="5"/>
        <v>0</v>
      </c>
      <c r="AC39" s="149">
        <f t="shared" si="9"/>
        <v>7.3713636363636398E-2</v>
      </c>
      <c r="AD39" s="527"/>
      <c r="AE39" s="150"/>
    </row>
    <row r="40" spans="1:34" s="1" customFormat="1" ht="30" customHeight="1">
      <c r="A40" s="488" t="s">
        <v>126</v>
      </c>
      <c r="B40" s="489"/>
      <c r="C40" s="489"/>
      <c r="D40" s="489"/>
      <c r="E40" s="489"/>
      <c r="F40" s="489"/>
      <c r="G40" s="489"/>
      <c r="H40" s="490"/>
      <c r="I40" s="81">
        <f>+I11+I31</f>
        <v>5647932461</v>
      </c>
      <c r="J40" s="82"/>
      <c r="K40" s="83"/>
      <c r="L40" s="81">
        <f>+L11+L31</f>
        <v>403047650</v>
      </c>
      <c r="M40" s="84"/>
      <c r="N40" s="85"/>
      <c r="O40" s="81">
        <f>+O11+O31</f>
        <v>2659973240</v>
      </c>
      <c r="P40" s="86"/>
      <c r="Q40" s="81">
        <f>+Q11+Q31</f>
        <v>268813055</v>
      </c>
      <c r="R40" s="118"/>
      <c r="S40" s="81">
        <f>+S11+S31</f>
        <v>686316512</v>
      </c>
      <c r="T40" s="118"/>
      <c r="U40" s="81">
        <f>+U11+U31</f>
        <v>0</v>
      </c>
      <c r="V40" s="118"/>
      <c r="W40" s="81">
        <f>+W11+W31</f>
        <v>0</v>
      </c>
      <c r="X40" s="119"/>
      <c r="Y40" s="81">
        <f>+Y11+Y31</f>
        <v>955129567</v>
      </c>
      <c r="Z40" s="119">
        <f t="shared" ref="Z40" si="21">SUM(J40,X40)</f>
        <v>0</v>
      </c>
      <c r="AA40" s="81">
        <f>+AA11+AA31</f>
        <v>1358177217</v>
      </c>
      <c r="AB40" s="163"/>
      <c r="AC40" s="164"/>
      <c r="AD40" s="527"/>
      <c r="AE40" s="165"/>
    </row>
    <row r="41" spans="1:34" s="1" customFormat="1" ht="30" customHeight="1">
      <c r="A41" s="43"/>
      <c r="B41" s="44"/>
      <c r="C41" s="44"/>
      <c r="D41" s="44"/>
      <c r="E41" s="44"/>
      <c r="F41" s="44"/>
      <c r="G41" s="44"/>
      <c r="H41" s="44"/>
      <c r="I41" s="87"/>
      <c r="J41" s="88"/>
      <c r="K41" s="89"/>
      <c r="L41" s="87"/>
      <c r="M41" s="519" t="s">
        <v>204</v>
      </c>
      <c r="N41" s="520"/>
      <c r="O41" s="521"/>
      <c r="P41" s="90">
        <f>+SUMPRODUCT(P11:P39,O11:O39)/O40</f>
        <v>0.12120470354807</v>
      </c>
      <c r="Q41" s="90">
        <f>+Q40/O40</f>
        <v>0.101058556137956</v>
      </c>
      <c r="R41" s="90">
        <f>+SUMPRODUCT(R11:R39,O11:O39)/O40</f>
        <v>0.33524875611154598</v>
      </c>
      <c r="S41" s="90">
        <f>+S40/O40</f>
        <v>0.25801632199878799</v>
      </c>
      <c r="T41" s="90">
        <v>0</v>
      </c>
      <c r="U41" s="90">
        <f>+U40/O40</f>
        <v>0</v>
      </c>
      <c r="V41" s="120">
        <v>0</v>
      </c>
      <c r="W41" s="90">
        <f>+W40/O40</f>
        <v>0</v>
      </c>
      <c r="X41" s="121">
        <f>+SUMPRODUCT(X11:X39,O11:O39)/O40</f>
        <v>0.45645345965961698</v>
      </c>
      <c r="Y41" s="90">
        <f>IFERROR(Y40/O40,0)</f>
        <v>0.35907487813674399</v>
      </c>
      <c r="Z41" s="166"/>
      <c r="AA41" s="87"/>
      <c r="AB41" s="167"/>
      <c r="AC41" s="168"/>
      <c r="AD41" s="527"/>
      <c r="AE41" s="169"/>
    </row>
    <row r="42" spans="1:34" s="1" customFormat="1" ht="30" customHeight="1">
      <c r="A42" s="43"/>
      <c r="B42" s="44"/>
      <c r="C42" s="44"/>
      <c r="D42" s="44"/>
      <c r="E42" s="44"/>
      <c r="F42" s="44"/>
      <c r="G42" s="44"/>
      <c r="H42" s="44"/>
      <c r="I42" s="87"/>
      <c r="J42" s="88"/>
      <c r="K42" s="89"/>
      <c r="L42" s="87"/>
      <c r="M42" s="519" t="s">
        <v>205</v>
      </c>
      <c r="N42" s="520"/>
      <c r="O42" s="521"/>
      <c r="P42" s="91" t="str">
        <f t="shared" ref="P42:Y42" si="22">IF(P41&gt;0.9,"Sangat Tinggi",IF(P41&gt;0.75,"Tinggi",IF(P41&gt;0.65,"Sedang",IF(P41&gt;0.5,"Rendah","Sangat Rendah"))))</f>
        <v>Sangat Rendah</v>
      </c>
      <c r="Q42" s="91" t="str">
        <f t="shared" si="22"/>
        <v>Sangat Rendah</v>
      </c>
      <c r="R42" s="91" t="str">
        <f t="shared" si="22"/>
        <v>Sangat Rendah</v>
      </c>
      <c r="S42" s="91" t="str">
        <f t="shared" si="22"/>
        <v>Sangat Rendah</v>
      </c>
      <c r="T42" s="91" t="str">
        <f t="shared" si="22"/>
        <v>Sangat Rendah</v>
      </c>
      <c r="U42" s="91" t="str">
        <f t="shared" si="22"/>
        <v>Sangat Rendah</v>
      </c>
      <c r="V42" s="91" t="str">
        <f t="shared" si="22"/>
        <v>Sangat Rendah</v>
      </c>
      <c r="W42" s="91" t="str">
        <f t="shared" si="22"/>
        <v>Sangat Rendah</v>
      </c>
      <c r="X42" s="91" t="str">
        <f t="shared" si="22"/>
        <v>Sangat Rendah</v>
      </c>
      <c r="Y42" s="91" t="str">
        <f t="shared" si="22"/>
        <v>Sangat Rendah</v>
      </c>
      <c r="Z42" s="166"/>
      <c r="AA42" s="87"/>
      <c r="AB42" s="167"/>
      <c r="AC42" s="168"/>
      <c r="AD42" s="527"/>
      <c r="AE42" s="169"/>
    </row>
    <row r="43" spans="1:34" s="1" customFormat="1" ht="30" customHeight="1">
      <c r="A43" s="43"/>
      <c r="B43" s="44"/>
      <c r="C43" s="44"/>
      <c r="D43" s="44"/>
      <c r="E43" s="44"/>
      <c r="F43" s="44"/>
      <c r="G43" s="44"/>
      <c r="H43" s="44"/>
      <c r="I43" s="87"/>
      <c r="J43" s="88"/>
      <c r="K43" s="89"/>
      <c r="L43" s="87"/>
      <c r="M43" s="92"/>
      <c r="N43" s="93"/>
      <c r="O43" s="87"/>
      <c r="P43" s="94"/>
      <c r="Q43" s="87"/>
      <c r="R43" s="94"/>
      <c r="S43" s="87"/>
      <c r="T43" s="94"/>
      <c r="U43" s="87"/>
      <c r="V43" s="94"/>
      <c r="W43" s="87"/>
      <c r="X43" s="94"/>
      <c r="Y43" s="87"/>
      <c r="Z43" s="166"/>
      <c r="AA43" s="87"/>
      <c r="AB43" s="170"/>
      <c r="AC43" s="171"/>
      <c r="AD43" s="527"/>
      <c r="AE43" s="172"/>
    </row>
    <row r="44" spans="1:34" s="2" customFormat="1">
      <c r="A44" s="45" t="s">
        <v>129</v>
      </c>
      <c r="B44" s="46"/>
      <c r="C44" s="46"/>
      <c r="D44" s="46"/>
      <c r="E44" s="410" t="s">
        <v>130</v>
      </c>
      <c r="F44" s="46"/>
      <c r="G44" s="47"/>
      <c r="H44" s="47"/>
      <c r="I44" s="47"/>
      <c r="J44" s="95"/>
      <c r="K44" s="47"/>
      <c r="L44" s="46"/>
      <c r="M44" s="46"/>
      <c r="N44" s="46"/>
      <c r="O44" s="96"/>
      <c r="P44" s="95"/>
      <c r="Q44" s="47"/>
      <c r="R44" s="122"/>
      <c r="S44" s="123"/>
      <c r="T44" s="123"/>
      <c r="U44" s="123"/>
      <c r="V44" s="123"/>
      <c r="W44" s="123"/>
      <c r="X44" s="123"/>
      <c r="Y44" s="123"/>
      <c r="Z44" s="123"/>
      <c r="AA44" s="123"/>
      <c r="AB44" s="173"/>
      <c r="AC44" s="47"/>
      <c r="AD44" s="174"/>
      <c r="AE44" s="175"/>
      <c r="AF44" s="176"/>
      <c r="AG44" s="187"/>
      <c r="AH44" s="188"/>
    </row>
    <row r="45" spans="1:34" s="2" customFormat="1">
      <c r="A45" s="45" t="s">
        <v>131</v>
      </c>
      <c r="B45" s="46"/>
      <c r="C45" s="46"/>
      <c r="D45" s="46"/>
      <c r="E45" s="410" t="s">
        <v>132</v>
      </c>
      <c r="F45" s="46"/>
      <c r="G45" s="47"/>
      <c r="H45" s="47"/>
      <c r="I45" s="47"/>
      <c r="J45" s="95"/>
      <c r="K45" s="47"/>
      <c r="L45" s="97"/>
      <c r="M45" s="97"/>
      <c r="N45" s="97"/>
      <c r="O45" s="98"/>
      <c r="P45" s="99"/>
      <c r="Q45" s="124"/>
      <c r="R45" s="125"/>
      <c r="S45" s="126"/>
      <c r="T45" s="126"/>
      <c r="U45" s="126"/>
      <c r="V45" s="126"/>
      <c r="W45" s="126"/>
      <c r="X45" s="126"/>
      <c r="Y45" s="126"/>
      <c r="Z45" s="522"/>
      <c r="AA45" s="522"/>
      <c r="AB45" s="178"/>
      <c r="AC45" s="124"/>
      <c r="AD45" s="179"/>
      <c r="AE45" s="175"/>
      <c r="AF45" s="176"/>
      <c r="AG45" s="187"/>
      <c r="AH45" s="188"/>
    </row>
    <row r="46" spans="1:34" s="2" customFormat="1">
      <c r="A46" s="45" t="s">
        <v>133</v>
      </c>
      <c r="B46" s="46"/>
      <c r="C46" s="46"/>
      <c r="D46" s="46"/>
      <c r="E46" s="410" t="s">
        <v>134</v>
      </c>
      <c r="F46" s="46"/>
      <c r="G46" s="47"/>
      <c r="H46" s="47"/>
      <c r="I46" s="47"/>
      <c r="J46" s="47"/>
      <c r="K46" s="47"/>
      <c r="L46" s="97"/>
      <c r="M46" s="97"/>
      <c r="N46" s="97"/>
      <c r="O46" s="98"/>
      <c r="P46" s="99"/>
      <c r="Q46" s="124"/>
      <c r="R46" s="125"/>
      <c r="S46" s="126"/>
      <c r="T46" s="126"/>
      <c r="U46" s="126"/>
      <c r="V46" s="126"/>
      <c r="W46" s="126"/>
      <c r="X46" s="126"/>
      <c r="Y46" s="126"/>
      <c r="Z46" s="177"/>
      <c r="AA46" s="177"/>
      <c r="AB46" s="178"/>
      <c r="AC46" s="124"/>
      <c r="AD46" s="179"/>
      <c r="AE46" s="175"/>
      <c r="AF46" s="176"/>
      <c r="AG46" s="187"/>
      <c r="AH46" s="188"/>
    </row>
    <row r="47" spans="1:34" s="2" customFormat="1">
      <c r="A47" s="45" t="s">
        <v>135</v>
      </c>
      <c r="B47" s="46"/>
      <c r="C47" s="46"/>
      <c r="D47" s="46"/>
      <c r="E47" s="410" t="s">
        <v>136</v>
      </c>
      <c r="F47" s="46"/>
      <c r="G47" s="47"/>
      <c r="H47" s="47"/>
      <c r="I47" s="47"/>
      <c r="J47" s="47"/>
      <c r="K47" s="47"/>
      <c r="L47" s="97"/>
      <c r="M47" s="97"/>
      <c r="N47" s="97"/>
      <c r="O47" s="98"/>
      <c r="P47" s="99"/>
      <c r="Q47" s="124"/>
      <c r="R47" s="125"/>
      <c r="S47" s="126"/>
      <c r="T47" s="126"/>
      <c r="U47" s="126"/>
      <c r="V47" s="126"/>
      <c r="W47" s="126"/>
      <c r="X47" s="126"/>
      <c r="Y47" s="126"/>
      <c r="Z47" s="177"/>
      <c r="AA47" s="177"/>
      <c r="AB47" s="178"/>
      <c r="AC47" s="124"/>
      <c r="AD47" s="179"/>
      <c r="AE47" s="175"/>
      <c r="AF47" s="176"/>
      <c r="AG47" s="187"/>
      <c r="AH47" s="188"/>
    </row>
    <row r="48" spans="1:34" s="2" customFormat="1">
      <c r="A48" s="48"/>
      <c r="B48" s="49"/>
      <c r="C48" s="49"/>
      <c r="D48" s="49"/>
      <c r="E48" s="50" t="s">
        <v>137</v>
      </c>
      <c r="F48" s="49"/>
      <c r="G48" s="51"/>
      <c r="H48" s="51"/>
      <c r="I48" s="51"/>
      <c r="J48" s="51"/>
      <c r="K48" s="51"/>
      <c r="L48" s="100"/>
      <c r="M48" s="100"/>
      <c r="N48" s="100"/>
      <c r="O48" s="101"/>
      <c r="P48" s="102"/>
      <c r="Q48" s="127"/>
      <c r="R48" s="128"/>
      <c r="S48" s="129"/>
      <c r="T48" s="129"/>
      <c r="U48" s="129"/>
      <c r="V48" s="129"/>
      <c r="W48" s="129"/>
      <c r="X48" s="129"/>
      <c r="Y48" s="129"/>
      <c r="Z48" s="180"/>
      <c r="AA48" s="180"/>
      <c r="AB48" s="181"/>
      <c r="AC48" s="127"/>
      <c r="AD48" s="179"/>
      <c r="AE48" s="182"/>
      <c r="AF48" s="183"/>
      <c r="AG48" s="187"/>
      <c r="AH48" s="188"/>
    </row>
    <row r="49" spans="1:31">
      <c r="A49" s="52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184"/>
      <c r="AE49" s="185"/>
    </row>
    <row r="50" spans="1:31">
      <c r="W50" s="515" t="s">
        <v>206</v>
      </c>
      <c r="X50" s="515"/>
      <c r="Y50" s="515"/>
      <c r="Z50" s="515"/>
      <c r="AA50" s="515"/>
      <c r="AB50" s="515"/>
    </row>
    <row r="51" spans="1:31">
      <c r="W51" s="512" t="s">
        <v>145</v>
      </c>
      <c r="X51" s="512"/>
      <c r="Y51" s="512"/>
      <c r="Z51" s="512"/>
      <c r="AA51" s="512"/>
      <c r="AB51" s="512"/>
    </row>
    <row r="52" spans="1:31">
      <c r="W52" s="130"/>
      <c r="X52" s="130"/>
      <c r="Y52" s="130"/>
      <c r="Z52" s="130"/>
      <c r="AA52" s="130"/>
      <c r="AB52" s="130"/>
    </row>
    <row r="53" spans="1:31">
      <c r="W53" s="130"/>
      <c r="X53" s="130"/>
      <c r="Y53" s="130"/>
      <c r="Z53" s="130"/>
      <c r="AA53" s="130"/>
      <c r="AB53" s="130"/>
    </row>
    <row r="54" spans="1:31">
      <c r="W54" s="512"/>
      <c r="X54" s="512"/>
      <c r="Y54" s="512"/>
      <c r="Z54" s="512"/>
      <c r="AA54" s="512"/>
      <c r="AB54" s="512"/>
    </row>
    <row r="55" spans="1:31">
      <c r="W55" s="131"/>
      <c r="X55" s="131"/>
      <c r="Y55" s="515"/>
      <c r="Z55" s="515"/>
      <c r="AA55" s="515"/>
      <c r="AB55" s="186"/>
    </row>
    <row r="56" spans="1:31">
      <c r="W56" s="516" t="s">
        <v>207</v>
      </c>
      <c r="X56" s="516"/>
      <c r="Y56" s="516"/>
      <c r="Z56" s="516"/>
      <c r="AA56" s="516"/>
      <c r="AB56" s="516"/>
    </row>
    <row r="57" spans="1:31">
      <c r="W57" s="495" t="s">
        <v>208</v>
      </c>
      <c r="X57" s="495"/>
      <c r="Y57" s="495"/>
      <c r="Z57" s="495"/>
      <c r="AA57" s="495"/>
      <c r="AB57" s="495"/>
    </row>
    <row r="58" spans="1:31">
      <c r="W58" s="512" t="s">
        <v>209</v>
      </c>
      <c r="X58" s="512"/>
      <c r="Y58" s="512"/>
      <c r="Z58" s="512"/>
      <c r="AA58" s="512"/>
      <c r="AB58" s="512"/>
    </row>
  </sheetData>
  <mergeCells count="45">
    <mergeCell ref="AD9:AD43"/>
    <mergeCell ref="AE6:AE8"/>
    <mergeCell ref="B6:C8"/>
    <mergeCell ref="G6:I7"/>
    <mergeCell ref="J6:L7"/>
    <mergeCell ref="M6:O7"/>
    <mergeCell ref="X6:Y7"/>
    <mergeCell ref="Z6:AA7"/>
    <mergeCell ref="AB6:AC7"/>
    <mergeCell ref="P6:Q6"/>
    <mergeCell ref="R6:S6"/>
    <mergeCell ref="T6:U6"/>
    <mergeCell ref="V6:W6"/>
    <mergeCell ref="P7:Q7"/>
    <mergeCell ref="R7:S7"/>
    <mergeCell ref="W57:AB57"/>
    <mergeCell ref="W58:AB58"/>
    <mergeCell ref="A6:A8"/>
    <mergeCell ref="D6:D8"/>
    <mergeCell ref="E6:E8"/>
    <mergeCell ref="F6:F8"/>
    <mergeCell ref="W50:AB50"/>
    <mergeCell ref="W51:AB51"/>
    <mergeCell ref="W54:AB54"/>
    <mergeCell ref="Y55:AA55"/>
    <mergeCell ref="W56:AB56"/>
    <mergeCell ref="B10:C10"/>
    <mergeCell ref="A40:H40"/>
    <mergeCell ref="M41:O41"/>
    <mergeCell ref="M42:O42"/>
    <mergeCell ref="Z45:AA45"/>
    <mergeCell ref="T7:U7"/>
    <mergeCell ref="V7:W7"/>
    <mergeCell ref="A1:AE1"/>
    <mergeCell ref="A2:AE2"/>
    <mergeCell ref="A3:AE3"/>
    <mergeCell ref="B5:C5"/>
    <mergeCell ref="G5:I5"/>
    <mergeCell ref="J5:L5"/>
    <mergeCell ref="M5:O5"/>
    <mergeCell ref="P5:W5"/>
    <mergeCell ref="X5:Y5"/>
    <mergeCell ref="Z5:AA5"/>
    <mergeCell ref="AB5:AC5"/>
    <mergeCell ref="AD6:AD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B16"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TW I (TC.19)</vt:lpstr>
      <vt:lpstr>E.60</vt:lpstr>
      <vt:lpstr>Sheet1</vt:lpstr>
      <vt:lpstr>'TW I (TC.19)'!Print_Area</vt:lpstr>
      <vt:lpstr>'TW I (TC.19)'!Print_Titles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Erni Sasmita</dc:creator>
  <cp:lastModifiedBy>BRIDA Kota Dumai</cp:lastModifiedBy>
  <dcterms:created xsi:type="dcterms:W3CDTF">2024-06-30T04:06:00Z</dcterms:created>
  <dcterms:modified xsi:type="dcterms:W3CDTF">2025-02-10T04:32:26Z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3B43369958704463862DA25313D9F05D_13</vt:lpwstr>
  </property>
  <property fmtid="{D5CDD505-2E9C-101B-9397-08002B2CF9AE}" pid="3" name="KSOProductBuildVer">
    <vt:lpwstr>1033-12.2.0.19307</vt:lpwstr>
  </property>
</Properties>
</file>