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omments3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omments4.xml" ContentType="application/vnd.openxmlformats-officedocument.spreadsheetml.comments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 PENAGIHAN TAHUN 2022\KEGIATAN REKON TAHUN 2022\"/>
    </mc:Choice>
  </mc:AlternateContent>
  <bookViews>
    <workbookView xWindow="0" yWindow="0" windowWidth="21840" windowHeight="12030" firstSheet="13" activeTab="22"/>
  </bookViews>
  <sheets>
    <sheet name="Realisasi Januari" sheetId="33" r:id="rId1"/>
    <sheet name="Rkp Jan" sheetId="32" r:id="rId2"/>
    <sheet name="Realisasi Februari" sheetId="34" r:id="rId3"/>
    <sheet name="Rkp Feb" sheetId="35" r:id="rId4"/>
    <sheet name="Realisasi Maret" sheetId="36" r:id="rId5"/>
    <sheet name="Rkp Maret" sheetId="37" r:id="rId6"/>
    <sheet name="Realisasi April" sheetId="38" r:id="rId7"/>
    <sheet name="Rkp April" sheetId="39" r:id="rId8"/>
    <sheet name="Realisasi Mei" sheetId="40" r:id="rId9"/>
    <sheet name="Rkp Mei" sheetId="41" r:id="rId10"/>
    <sheet name="Realisasi Juni" sheetId="42" r:id="rId11"/>
    <sheet name="Rkp Juni" sheetId="43" r:id="rId12"/>
    <sheet name="Realisasi Juli" sheetId="44" r:id="rId13"/>
    <sheet name="Rkp Juli" sheetId="45" r:id="rId14"/>
    <sheet name="Realisasi Agustus" sheetId="46" r:id="rId15"/>
    <sheet name="Rkp Agustus" sheetId="47" r:id="rId16"/>
    <sheet name="Realisasi Sept" sheetId="49" r:id="rId17"/>
    <sheet name="Rkp Sept" sheetId="48" r:id="rId18"/>
    <sheet name="Realisasi Okt" sheetId="52" r:id="rId19"/>
    <sheet name="Rkp Okt" sheetId="53" r:id="rId20"/>
    <sheet name="Realisasi Nov" sheetId="54" r:id="rId21"/>
    <sheet name="Rkp Nov" sheetId="55" r:id="rId22"/>
    <sheet name="Realisasi Des" sheetId="57" r:id="rId23"/>
    <sheet name="Rkp Des" sheetId="58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A" localSheetId="14">#REF!</definedName>
    <definedName name="A" localSheetId="6">#REF!</definedName>
    <definedName name="A" localSheetId="22">#REF!</definedName>
    <definedName name="A" localSheetId="2">#REF!</definedName>
    <definedName name="A" localSheetId="0">#REF!</definedName>
    <definedName name="A" localSheetId="12">#REF!</definedName>
    <definedName name="A" localSheetId="10">#REF!</definedName>
    <definedName name="A" localSheetId="4">#REF!</definedName>
    <definedName name="A" localSheetId="8">#REF!</definedName>
    <definedName name="A" localSheetId="20">#REF!</definedName>
    <definedName name="A" localSheetId="18">#REF!</definedName>
    <definedName name="A" localSheetId="16">#REF!</definedName>
    <definedName name="A" localSheetId="15">#REF!</definedName>
    <definedName name="A" localSheetId="7">#REF!</definedName>
    <definedName name="A" localSheetId="23">#REF!</definedName>
    <definedName name="A" localSheetId="3">#REF!</definedName>
    <definedName name="A" localSheetId="1">#REF!</definedName>
    <definedName name="A" localSheetId="13">#REF!</definedName>
    <definedName name="A" localSheetId="11">#REF!</definedName>
    <definedName name="A" localSheetId="5">#REF!</definedName>
    <definedName name="A" localSheetId="9">#REF!</definedName>
    <definedName name="A" localSheetId="21">#REF!</definedName>
    <definedName name="A" localSheetId="19">#REF!</definedName>
    <definedName name="A" localSheetId="17">#REF!</definedName>
    <definedName name="A">#REF!</definedName>
    <definedName name="aa" localSheetId="14">#REF!</definedName>
    <definedName name="aa" localSheetId="6">#REF!</definedName>
    <definedName name="aa" localSheetId="22">#REF!</definedName>
    <definedName name="aa" localSheetId="2">#REF!</definedName>
    <definedName name="aa" localSheetId="0">#REF!</definedName>
    <definedName name="aa" localSheetId="12">#REF!</definedName>
    <definedName name="aa" localSheetId="10">#REF!</definedName>
    <definedName name="aa" localSheetId="4">#REF!</definedName>
    <definedName name="aa" localSheetId="8">#REF!</definedName>
    <definedName name="aa" localSheetId="20">#REF!</definedName>
    <definedName name="aa" localSheetId="18">#REF!</definedName>
    <definedName name="aa" localSheetId="16">#REF!</definedName>
    <definedName name="aa" localSheetId="15">#REF!</definedName>
    <definedName name="aa" localSheetId="7">#REF!</definedName>
    <definedName name="aa" localSheetId="23">#REF!</definedName>
    <definedName name="aa" localSheetId="3">#REF!</definedName>
    <definedName name="aa" localSheetId="1">#REF!</definedName>
    <definedName name="aa" localSheetId="13">#REF!</definedName>
    <definedName name="aa" localSheetId="11">#REF!</definedName>
    <definedName name="aa" localSheetId="5">#REF!</definedName>
    <definedName name="aa" localSheetId="9">#REF!</definedName>
    <definedName name="aa" localSheetId="21">#REF!</definedName>
    <definedName name="aa" localSheetId="19">#REF!</definedName>
    <definedName name="aa" localSheetId="17">#REF!</definedName>
    <definedName name="aa">#REF!</definedName>
    <definedName name="aaa" localSheetId="14">#REF!</definedName>
    <definedName name="aaa" localSheetId="6">#REF!</definedName>
    <definedName name="aaa" localSheetId="22">#REF!</definedName>
    <definedName name="aaa" localSheetId="2">#REF!</definedName>
    <definedName name="aaa" localSheetId="0">#REF!</definedName>
    <definedName name="aaa" localSheetId="12">#REF!</definedName>
    <definedName name="aaa" localSheetId="10">#REF!</definedName>
    <definedName name="aaa" localSheetId="4">#REF!</definedName>
    <definedName name="aaa" localSheetId="8">#REF!</definedName>
    <definedName name="aaa" localSheetId="20">#REF!</definedName>
    <definedName name="aaa" localSheetId="18">#REF!</definedName>
    <definedName name="aaa" localSheetId="16">#REF!</definedName>
    <definedName name="aaa" localSheetId="15">#REF!</definedName>
    <definedName name="aaa" localSheetId="7">#REF!</definedName>
    <definedName name="aaa" localSheetId="23">#REF!</definedName>
    <definedName name="aaa" localSheetId="3">#REF!</definedName>
    <definedName name="aaa" localSheetId="1">#REF!</definedName>
    <definedName name="aaa" localSheetId="13">#REF!</definedName>
    <definedName name="aaa" localSheetId="11">#REF!</definedName>
    <definedName name="aaa" localSheetId="5">#REF!</definedName>
    <definedName name="aaa" localSheetId="9">#REF!</definedName>
    <definedName name="aaa" localSheetId="21">#REF!</definedName>
    <definedName name="aaa" localSheetId="19">#REF!</definedName>
    <definedName name="aaa" localSheetId="17">#REF!</definedName>
    <definedName name="aaa">#REF!</definedName>
    <definedName name="Adek" localSheetId="14">#REF!</definedName>
    <definedName name="Adek" localSheetId="6">#REF!</definedName>
    <definedName name="Adek" localSheetId="22">#REF!</definedName>
    <definedName name="Adek" localSheetId="2">#REF!</definedName>
    <definedName name="Adek" localSheetId="0">#REF!</definedName>
    <definedName name="Adek" localSheetId="12">#REF!</definedName>
    <definedName name="Adek" localSheetId="10">#REF!</definedName>
    <definedName name="Adek" localSheetId="4">#REF!</definedName>
    <definedName name="Adek" localSheetId="8">#REF!</definedName>
    <definedName name="Adek" localSheetId="20">#REF!</definedName>
    <definedName name="Adek" localSheetId="18">#REF!</definedName>
    <definedName name="Adek" localSheetId="16">#REF!</definedName>
    <definedName name="Adek" localSheetId="15">#REF!</definedName>
    <definedName name="Adek" localSheetId="7">#REF!</definedName>
    <definedName name="Adek" localSheetId="23">#REF!</definedName>
    <definedName name="Adek" localSheetId="3">#REF!</definedName>
    <definedName name="Adek" localSheetId="1">#REF!</definedName>
    <definedName name="Adek" localSheetId="13">#REF!</definedName>
    <definedName name="Adek" localSheetId="11">#REF!</definedName>
    <definedName name="Adek" localSheetId="5">#REF!</definedName>
    <definedName name="Adek" localSheetId="9">#REF!</definedName>
    <definedName name="Adek" localSheetId="21">#REF!</definedName>
    <definedName name="Adek" localSheetId="19">#REF!</definedName>
    <definedName name="Adek" localSheetId="17">#REF!</definedName>
    <definedName name="Adek">#REF!</definedName>
    <definedName name="Adek1" localSheetId="14">#REF!</definedName>
    <definedName name="Adek1" localSheetId="6">#REF!</definedName>
    <definedName name="Adek1" localSheetId="22">#REF!</definedName>
    <definedName name="Adek1" localSheetId="2">#REF!</definedName>
    <definedName name="Adek1" localSheetId="0">#REF!</definedName>
    <definedName name="Adek1" localSheetId="12">#REF!</definedName>
    <definedName name="Adek1" localSheetId="10">#REF!</definedName>
    <definedName name="Adek1" localSheetId="4">#REF!</definedName>
    <definedName name="Adek1" localSheetId="8">#REF!</definedName>
    <definedName name="Adek1" localSheetId="20">#REF!</definedName>
    <definedName name="Adek1" localSheetId="18">#REF!</definedName>
    <definedName name="Adek1" localSheetId="16">#REF!</definedName>
    <definedName name="Adek1" localSheetId="15">#REF!</definedName>
    <definedName name="Adek1" localSheetId="7">#REF!</definedName>
    <definedName name="Adek1" localSheetId="23">#REF!</definedName>
    <definedName name="Adek1" localSheetId="3">#REF!</definedName>
    <definedName name="Adek1" localSheetId="1">#REF!</definedName>
    <definedName name="Adek1" localSheetId="13">#REF!</definedName>
    <definedName name="Adek1" localSheetId="11">#REF!</definedName>
    <definedName name="Adek1" localSheetId="5">#REF!</definedName>
    <definedName name="Adek1" localSheetId="9">#REF!</definedName>
    <definedName name="Adek1" localSheetId="21">#REF!</definedName>
    <definedName name="Adek1" localSheetId="19">#REF!</definedName>
    <definedName name="Adek1" localSheetId="17">#REF!</definedName>
    <definedName name="Adek1">#REF!</definedName>
    <definedName name="ass" localSheetId="14">#REF!</definedName>
    <definedName name="ass" localSheetId="6">#REF!</definedName>
    <definedName name="ass" localSheetId="22">#REF!</definedName>
    <definedName name="ass" localSheetId="2">#REF!</definedName>
    <definedName name="ass" localSheetId="0">#REF!</definedName>
    <definedName name="ass" localSheetId="12">#REF!</definedName>
    <definedName name="ass" localSheetId="10">#REF!</definedName>
    <definedName name="ass" localSheetId="4">#REF!</definedName>
    <definedName name="ass" localSheetId="8">#REF!</definedName>
    <definedName name="ass" localSheetId="20">#REF!</definedName>
    <definedName name="ass" localSheetId="18">#REF!</definedName>
    <definedName name="ass" localSheetId="16">#REF!</definedName>
    <definedName name="ass" localSheetId="15">#REF!</definedName>
    <definedName name="ass" localSheetId="7">#REF!</definedName>
    <definedName name="ass" localSheetId="23">#REF!</definedName>
    <definedName name="ass" localSheetId="3">#REF!</definedName>
    <definedName name="ass" localSheetId="1">#REF!</definedName>
    <definedName name="ass" localSheetId="13">#REF!</definedName>
    <definedName name="ass" localSheetId="11">#REF!</definedName>
    <definedName name="ass" localSheetId="5">#REF!</definedName>
    <definedName name="ass" localSheetId="9">#REF!</definedName>
    <definedName name="ass" localSheetId="21">#REF!</definedName>
    <definedName name="ass" localSheetId="19">#REF!</definedName>
    <definedName name="ass" localSheetId="17">#REF!</definedName>
    <definedName name="ass">#REF!</definedName>
    <definedName name="b" localSheetId="14">#REF!</definedName>
    <definedName name="b" localSheetId="6">#REF!</definedName>
    <definedName name="b" localSheetId="22">#REF!</definedName>
    <definedName name="b" localSheetId="2">#REF!</definedName>
    <definedName name="b" localSheetId="0">#REF!</definedName>
    <definedName name="b" localSheetId="12">#REF!</definedName>
    <definedName name="b" localSheetId="10">#REF!</definedName>
    <definedName name="b" localSheetId="4">#REF!</definedName>
    <definedName name="b" localSheetId="8">#REF!</definedName>
    <definedName name="b" localSheetId="20">#REF!</definedName>
    <definedName name="b" localSheetId="18">#REF!</definedName>
    <definedName name="b" localSheetId="16">#REF!</definedName>
    <definedName name="b" localSheetId="15">#REF!</definedName>
    <definedName name="b" localSheetId="7">#REF!</definedName>
    <definedName name="b" localSheetId="23">#REF!</definedName>
    <definedName name="b" localSheetId="3">#REF!</definedName>
    <definedName name="b" localSheetId="1">#REF!</definedName>
    <definedName name="b" localSheetId="13">#REF!</definedName>
    <definedName name="b" localSheetId="11">#REF!</definedName>
    <definedName name="b" localSheetId="5">#REF!</definedName>
    <definedName name="b" localSheetId="9">#REF!</definedName>
    <definedName name="b" localSheetId="21">#REF!</definedName>
    <definedName name="b" localSheetId="19">#REF!</definedName>
    <definedName name="b" localSheetId="17">#REF!</definedName>
    <definedName name="b">#REF!</definedName>
    <definedName name="b." localSheetId="14">#REF!</definedName>
    <definedName name="b." localSheetId="6">#REF!</definedName>
    <definedName name="b." localSheetId="22">#REF!</definedName>
    <definedName name="b." localSheetId="2">#REF!</definedName>
    <definedName name="b." localSheetId="0">#REF!</definedName>
    <definedName name="b." localSheetId="12">#REF!</definedName>
    <definedName name="b." localSheetId="10">#REF!</definedName>
    <definedName name="b." localSheetId="4">#REF!</definedName>
    <definedName name="b." localSheetId="8">#REF!</definedName>
    <definedName name="b." localSheetId="20">#REF!</definedName>
    <definedName name="b." localSheetId="18">#REF!</definedName>
    <definedName name="b." localSheetId="16">#REF!</definedName>
    <definedName name="b." localSheetId="15">#REF!</definedName>
    <definedName name="b." localSheetId="7">#REF!</definedName>
    <definedName name="b." localSheetId="23">#REF!</definedName>
    <definedName name="b." localSheetId="3">#REF!</definedName>
    <definedName name="b." localSheetId="1">#REF!</definedName>
    <definedName name="b." localSheetId="13">#REF!</definedName>
    <definedName name="b." localSheetId="11">#REF!</definedName>
    <definedName name="b." localSheetId="5">#REF!</definedName>
    <definedName name="b." localSheetId="9">#REF!</definedName>
    <definedName name="b." localSheetId="21">#REF!</definedName>
    <definedName name="b." localSheetId="19">#REF!</definedName>
    <definedName name="b." localSheetId="17">#REF!</definedName>
    <definedName name="b.">#REF!</definedName>
    <definedName name="B.Aparatur" localSheetId="14">#REF!</definedName>
    <definedName name="B.Aparatur" localSheetId="6">#REF!</definedName>
    <definedName name="B.Aparatur" localSheetId="22">#REF!</definedName>
    <definedName name="B.Aparatur" localSheetId="2">#REF!</definedName>
    <definedName name="B.Aparatur" localSheetId="0">#REF!</definedName>
    <definedName name="B.Aparatur" localSheetId="12">#REF!</definedName>
    <definedName name="B.Aparatur" localSheetId="10">#REF!</definedName>
    <definedName name="B.Aparatur" localSheetId="4">#REF!</definedName>
    <definedName name="B.Aparatur" localSheetId="8">#REF!</definedName>
    <definedName name="B.Aparatur" localSheetId="20">#REF!</definedName>
    <definedName name="B.Aparatur" localSheetId="18">#REF!</definedName>
    <definedName name="B.Aparatur" localSheetId="16">#REF!</definedName>
    <definedName name="B.Aparatur" localSheetId="15">#REF!</definedName>
    <definedName name="B.Aparatur" localSheetId="7">#REF!</definedName>
    <definedName name="B.Aparatur" localSheetId="23">#REF!</definedName>
    <definedName name="B.Aparatur" localSheetId="3">#REF!</definedName>
    <definedName name="B.Aparatur" localSheetId="1">#REF!</definedName>
    <definedName name="B.Aparatur" localSheetId="13">#REF!</definedName>
    <definedName name="B.Aparatur" localSheetId="11">#REF!</definedName>
    <definedName name="B.Aparatur" localSheetId="5">#REF!</definedName>
    <definedName name="B.Aparatur" localSheetId="9">#REF!</definedName>
    <definedName name="B.Aparatur" localSheetId="21">#REF!</definedName>
    <definedName name="B.Aparatur" localSheetId="19">#REF!</definedName>
    <definedName name="B.Aparatur" localSheetId="17">#REF!</definedName>
    <definedName name="B.Aparatur">#REF!</definedName>
    <definedName name="B.Publik" localSheetId="14">#REF!</definedName>
    <definedName name="B.Publik" localSheetId="6">#REF!</definedName>
    <definedName name="B.Publik" localSheetId="22">#REF!</definedName>
    <definedName name="B.Publik" localSheetId="2">#REF!</definedName>
    <definedName name="B.Publik" localSheetId="0">#REF!</definedName>
    <definedName name="B.Publik" localSheetId="12">#REF!</definedName>
    <definedName name="B.Publik" localSheetId="10">#REF!</definedName>
    <definedName name="B.Publik" localSheetId="4">#REF!</definedName>
    <definedName name="B.Publik" localSheetId="8">#REF!</definedName>
    <definedName name="B.Publik" localSheetId="20">#REF!</definedName>
    <definedName name="B.Publik" localSheetId="18">#REF!</definedName>
    <definedName name="B.Publik" localSheetId="16">#REF!</definedName>
    <definedName name="B.Publik" localSheetId="15">#REF!</definedName>
    <definedName name="B.Publik" localSheetId="7">#REF!</definedName>
    <definedName name="B.Publik" localSheetId="23">#REF!</definedName>
    <definedName name="B.Publik" localSheetId="3">#REF!</definedName>
    <definedName name="B.Publik" localSheetId="1">#REF!</definedName>
    <definedName name="B.Publik" localSheetId="13">#REF!</definedName>
    <definedName name="B.Publik" localSheetId="11">#REF!</definedName>
    <definedName name="B.Publik" localSheetId="5">#REF!</definedName>
    <definedName name="B.Publik" localSheetId="9">#REF!</definedName>
    <definedName name="B.Publik" localSheetId="21">#REF!</definedName>
    <definedName name="B.Publik" localSheetId="19">#REF!</definedName>
    <definedName name="B.Publik" localSheetId="17">#REF!</definedName>
    <definedName name="B.Publik">#REF!</definedName>
    <definedName name="ba" localSheetId="14">#REF!</definedName>
    <definedName name="ba" localSheetId="6">#REF!</definedName>
    <definedName name="ba" localSheetId="22">#REF!</definedName>
    <definedName name="ba" localSheetId="2">#REF!</definedName>
    <definedName name="ba" localSheetId="0">#REF!</definedName>
    <definedName name="ba" localSheetId="12">#REF!</definedName>
    <definedName name="ba" localSheetId="10">#REF!</definedName>
    <definedName name="ba" localSheetId="4">#REF!</definedName>
    <definedName name="ba" localSheetId="8">#REF!</definedName>
    <definedName name="ba" localSheetId="20">#REF!</definedName>
    <definedName name="ba" localSheetId="18">#REF!</definedName>
    <definedName name="ba" localSheetId="16">#REF!</definedName>
    <definedName name="ba" localSheetId="15">#REF!</definedName>
    <definedName name="ba" localSheetId="7">#REF!</definedName>
    <definedName name="ba" localSheetId="23">#REF!</definedName>
    <definedName name="ba" localSheetId="3">#REF!</definedName>
    <definedName name="ba" localSheetId="1">#REF!</definedName>
    <definedName name="ba" localSheetId="13">#REF!</definedName>
    <definedName name="ba" localSheetId="11">#REF!</definedName>
    <definedName name="ba" localSheetId="5">#REF!</definedName>
    <definedName name="ba" localSheetId="9">#REF!</definedName>
    <definedName name="ba" localSheetId="21">#REF!</definedName>
    <definedName name="ba" localSheetId="19">#REF!</definedName>
    <definedName name="ba" localSheetId="17">#REF!</definedName>
    <definedName name="ba">#REF!</definedName>
    <definedName name="barak" localSheetId="14">#REF!</definedName>
    <definedName name="barak" localSheetId="6">#REF!</definedName>
    <definedName name="barak" localSheetId="22">#REF!</definedName>
    <definedName name="barak" localSheetId="2">#REF!</definedName>
    <definedName name="barak" localSheetId="0">#REF!</definedName>
    <definedName name="barak" localSheetId="12">#REF!</definedName>
    <definedName name="barak" localSheetId="10">#REF!</definedName>
    <definedName name="barak" localSheetId="4">#REF!</definedName>
    <definedName name="barak" localSheetId="8">#REF!</definedName>
    <definedName name="barak" localSheetId="20">#REF!</definedName>
    <definedName name="barak" localSheetId="18">#REF!</definedName>
    <definedName name="barak" localSheetId="16">#REF!</definedName>
    <definedName name="barak" localSheetId="15">#REF!</definedName>
    <definedName name="barak" localSheetId="7">#REF!</definedName>
    <definedName name="barak" localSheetId="23">#REF!</definedName>
    <definedName name="barak" localSheetId="3">#REF!</definedName>
    <definedName name="barak" localSheetId="1">#REF!</definedName>
    <definedName name="barak" localSheetId="13">#REF!</definedName>
    <definedName name="barak" localSheetId="11">#REF!</definedName>
    <definedName name="barak" localSheetId="5">#REF!</definedName>
    <definedName name="barak" localSheetId="9">#REF!</definedName>
    <definedName name="barak" localSheetId="21">#REF!</definedName>
    <definedName name="barak" localSheetId="19">#REF!</definedName>
    <definedName name="barak" localSheetId="17">#REF!</definedName>
    <definedName name="barak">#REF!</definedName>
    <definedName name="barakk" localSheetId="14">#REF!</definedName>
    <definedName name="barakk" localSheetId="6">#REF!</definedName>
    <definedName name="barakk" localSheetId="22">#REF!</definedName>
    <definedName name="barakk" localSheetId="2">#REF!</definedName>
    <definedName name="barakk" localSheetId="0">#REF!</definedName>
    <definedName name="barakk" localSheetId="12">#REF!</definedName>
    <definedName name="barakk" localSheetId="10">#REF!</definedName>
    <definedName name="barakk" localSheetId="4">#REF!</definedName>
    <definedName name="barakk" localSheetId="8">#REF!</definedName>
    <definedName name="barakk" localSheetId="20">#REF!</definedName>
    <definedName name="barakk" localSheetId="18">#REF!</definedName>
    <definedName name="barakk" localSheetId="16">#REF!</definedName>
    <definedName name="barakk" localSheetId="15">#REF!</definedName>
    <definedName name="barakk" localSheetId="7">#REF!</definedName>
    <definedName name="barakk" localSheetId="23">#REF!</definedName>
    <definedName name="barakk" localSheetId="3">#REF!</definedName>
    <definedName name="barakk" localSheetId="1">#REF!</definedName>
    <definedName name="barakk" localSheetId="13">#REF!</definedName>
    <definedName name="barakk" localSheetId="11">#REF!</definedName>
    <definedName name="barakk" localSheetId="5">#REF!</definedName>
    <definedName name="barakk" localSheetId="9">#REF!</definedName>
    <definedName name="barakk" localSheetId="21">#REF!</definedName>
    <definedName name="barakk" localSheetId="19">#REF!</definedName>
    <definedName name="barakk" localSheetId="17">#REF!</definedName>
    <definedName name="barakk">#REF!</definedName>
    <definedName name="baru" localSheetId="14">#REF!</definedName>
    <definedName name="baru" localSheetId="6">#REF!</definedName>
    <definedName name="baru" localSheetId="22">#REF!</definedName>
    <definedName name="baru" localSheetId="2">#REF!</definedName>
    <definedName name="baru" localSheetId="0">#REF!</definedName>
    <definedName name="baru" localSheetId="12">#REF!</definedName>
    <definedName name="baru" localSheetId="10">#REF!</definedName>
    <definedName name="baru" localSheetId="4">#REF!</definedName>
    <definedName name="baru" localSheetId="8">#REF!</definedName>
    <definedName name="baru" localSheetId="20">#REF!</definedName>
    <definedName name="baru" localSheetId="18">#REF!</definedName>
    <definedName name="baru" localSheetId="16">#REF!</definedName>
    <definedName name="baru" localSheetId="15">#REF!</definedName>
    <definedName name="baru" localSheetId="7">#REF!</definedName>
    <definedName name="baru" localSheetId="23">#REF!</definedName>
    <definedName name="baru" localSheetId="3">#REF!</definedName>
    <definedName name="baru" localSheetId="1">#REF!</definedName>
    <definedName name="baru" localSheetId="13">#REF!</definedName>
    <definedName name="baru" localSheetId="11">#REF!</definedName>
    <definedName name="baru" localSheetId="5">#REF!</definedName>
    <definedName name="baru" localSheetId="9">#REF!</definedName>
    <definedName name="baru" localSheetId="21">#REF!</definedName>
    <definedName name="baru" localSheetId="19">#REF!</definedName>
    <definedName name="baru" localSheetId="17">#REF!</definedName>
    <definedName name="baru">#REF!</definedName>
    <definedName name="beni" localSheetId="14">#REF!</definedName>
    <definedName name="beni" localSheetId="6">#REF!</definedName>
    <definedName name="beni" localSheetId="22">#REF!</definedName>
    <definedName name="beni" localSheetId="2">#REF!</definedName>
    <definedName name="beni" localSheetId="0">#REF!</definedName>
    <definedName name="beni" localSheetId="12">#REF!</definedName>
    <definedName name="beni" localSheetId="10">#REF!</definedName>
    <definedName name="beni" localSheetId="4">#REF!</definedName>
    <definedName name="beni" localSheetId="8">#REF!</definedName>
    <definedName name="beni" localSheetId="20">#REF!</definedName>
    <definedName name="beni" localSheetId="18">#REF!</definedName>
    <definedName name="beni" localSheetId="16">#REF!</definedName>
    <definedName name="beni" localSheetId="15">#REF!</definedName>
    <definedName name="beni" localSheetId="7">#REF!</definedName>
    <definedName name="beni" localSheetId="23">#REF!</definedName>
    <definedName name="beni" localSheetId="3">#REF!</definedName>
    <definedName name="beni" localSheetId="1">#REF!</definedName>
    <definedName name="beni" localSheetId="13">#REF!</definedName>
    <definedName name="beni" localSheetId="11">#REF!</definedName>
    <definedName name="beni" localSheetId="5">#REF!</definedName>
    <definedName name="beni" localSheetId="9">#REF!</definedName>
    <definedName name="beni" localSheetId="21">#REF!</definedName>
    <definedName name="beni" localSheetId="19">#REF!</definedName>
    <definedName name="beni" localSheetId="17">#REF!</definedName>
    <definedName name="beni">#REF!</definedName>
    <definedName name="bfvhghf" localSheetId="14">#REF!</definedName>
    <definedName name="bfvhghf" localSheetId="6">#REF!</definedName>
    <definedName name="bfvhghf" localSheetId="22">#REF!</definedName>
    <definedName name="bfvhghf" localSheetId="2">#REF!</definedName>
    <definedName name="bfvhghf" localSheetId="0">#REF!</definedName>
    <definedName name="bfvhghf" localSheetId="12">#REF!</definedName>
    <definedName name="bfvhghf" localSheetId="10">#REF!</definedName>
    <definedName name="bfvhghf" localSheetId="4">#REF!</definedName>
    <definedName name="bfvhghf" localSheetId="8">#REF!</definedName>
    <definedName name="bfvhghf" localSheetId="20">#REF!</definedName>
    <definedName name="bfvhghf" localSheetId="18">#REF!</definedName>
    <definedName name="bfvhghf" localSheetId="16">#REF!</definedName>
    <definedName name="bfvhghf" localSheetId="15">#REF!</definedName>
    <definedName name="bfvhghf" localSheetId="7">#REF!</definedName>
    <definedName name="bfvhghf" localSheetId="23">#REF!</definedName>
    <definedName name="bfvhghf" localSheetId="3">#REF!</definedName>
    <definedName name="bfvhghf" localSheetId="1">#REF!</definedName>
    <definedName name="bfvhghf" localSheetId="13">#REF!</definedName>
    <definedName name="bfvhghf" localSheetId="11">#REF!</definedName>
    <definedName name="bfvhghf" localSheetId="5">#REF!</definedName>
    <definedName name="bfvhghf" localSheetId="9">#REF!</definedName>
    <definedName name="bfvhghf" localSheetId="21">#REF!</definedName>
    <definedName name="bfvhghf" localSheetId="19">#REF!</definedName>
    <definedName name="bfvhghf" localSheetId="17">#REF!</definedName>
    <definedName name="bfvhghf">#REF!</definedName>
    <definedName name="bp" localSheetId="14">#REF!</definedName>
    <definedName name="bp" localSheetId="6">#REF!</definedName>
    <definedName name="bp" localSheetId="22">#REF!</definedName>
    <definedName name="bp" localSheetId="2">#REF!</definedName>
    <definedName name="bp" localSheetId="0">#REF!</definedName>
    <definedName name="bp" localSheetId="12">#REF!</definedName>
    <definedName name="bp" localSheetId="10">#REF!</definedName>
    <definedName name="bp" localSheetId="4">#REF!</definedName>
    <definedName name="bp" localSheetId="8">#REF!</definedName>
    <definedName name="bp" localSheetId="20">#REF!</definedName>
    <definedName name="bp" localSheetId="18">#REF!</definedName>
    <definedName name="bp" localSheetId="16">#REF!</definedName>
    <definedName name="bp" localSheetId="15">#REF!</definedName>
    <definedName name="bp" localSheetId="7">#REF!</definedName>
    <definedName name="bp" localSheetId="23">#REF!</definedName>
    <definedName name="bp" localSheetId="3">#REF!</definedName>
    <definedName name="bp" localSheetId="1">#REF!</definedName>
    <definedName name="bp" localSheetId="13">#REF!</definedName>
    <definedName name="bp" localSheetId="11">#REF!</definedName>
    <definedName name="bp" localSheetId="5">#REF!</definedName>
    <definedName name="bp" localSheetId="9">#REF!</definedName>
    <definedName name="bp" localSheetId="21">#REF!</definedName>
    <definedName name="bp" localSheetId="19">#REF!</definedName>
    <definedName name="bp" localSheetId="17">#REF!</definedName>
    <definedName name="bp">#REF!</definedName>
    <definedName name="dddd" localSheetId="14">#REF!</definedName>
    <definedName name="dddd" localSheetId="6">#REF!</definedName>
    <definedName name="dddd" localSheetId="22">#REF!</definedName>
    <definedName name="dddd" localSheetId="2">#REF!</definedName>
    <definedName name="dddd" localSheetId="0">#REF!</definedName>
    <definedName name="dddd" localSheetId="12">#REF!</definedName>
    <definedName name="dddd" localSheetId="10">#REF!</definedName>
    <definedName name="dddd" localSheetId="4">#REF!</definedName>
    <definedName name="dddd" localSheetId="8">#REF!</definedName>
    <definedName name="dddd" localSheetId="20">#REF!</definedName>
    <definedName name="dddd" localSheetId="18">#REF!</definedName>
    <definedName name="dddd" localSheetId="16">#REF!</definedName>
    <definedName name="dddd" localSheetId="15">#REF!</definedName>
    <definedName name="dddd" localSheetId="7">#REF!</definedName>
    <definedName name="dddd" localSheetId="23">#REF!</definedName>
    <definedName name="dddd" localSheetId="3">#REF!</definedName>
    <definedName name="dddd" localSheetId="1">#REF!</definedName>
    <definedName name="dddd" localSheetId="13">#REF!</definedName>
    <definedName name="dddd" localSheetId="11">#REF!</definedName>
    <definedName name="dddd" localSheetId="5">#REF!</definedName>
    <definedName name="dddd" localSheetId="9">#REF!</definedName>
    <definedName name="dddd" localSheetId="21">#REF!</definedName>
    <definedName name="dddd" localSheetId="19">#REF!</definedName>
    <definedName name="dddd" localSheetId="17">#REF!</definedName>
    <definedName name="dddd">#REF!</definedName>
    <definedName name="dispenda" localSheetId="14">#REF!</definedName>
    <definedName name="dispenda" localSheetId="6">#REF!</definedName>
    <definedName name="dispenda" localSheetId="22">#REF!</definedName>
    <definedName name="dispenda" localSheetId="2">#REF!</definedName>
    <definedName name="dispenda" localSheetId="0">#REF!</definedName>
    <definedName name="dispenda" localSheetId="12">#REF!</definedName>
    <definedName name="dispenda" localSheetId="10">#REF!</definedName>
    <definedName name="dispenda" localSheetId="4">#REF!</definedName>
    <definedName name="dispenda" localSheetId="8">#REF!</definedName>
    <definedName name="dispenda" localSheetId="20">#REF!</definedName>
    <definedName name="dispenda" localSheetId="18">#REF!</definedName>
    <definedName name="dispenda" localSheetId="16">#REF!</definedName>
    <definedName name="dispenda" localSheetId="15">#REF!</definedName>
    <definedName name="dispenda" localSheetId="7">#REF!</definedName>
    <definedName name="dispenda" localSheetId="23">#REF!</definedName>
    <definedName name="dispenda" localSheetId="3">#REF!</definedName>
    <definedName name="dispenda" localSheetId="1">#REF!</definedName>
    <definedName name="dispenda" localSheetId="13">#REF!</definedName>
    <definedName name="dispenda" localSheetId="11">#REF!</definedName>
    <definedName name="dispenda" localSheetId="5">#REF!</definedName>
    <definedName name="dispenda" localSheetId="9">#REF!</definedName>
    <definedName name="dispenda" localSheetId="21">#REF!</definedName>
    <definedName name="dispenda" localSheetId="19">#REF!</definedName>
    <definedName name="dispenda" localSheetId="17">#REF!</definedName>
    <definedName name="dispenda">#REF!</definedName>
    <definedName name="dl" localSheetId="14">#REF!</definedName>
    <definedName name="dl" localSheetId="6">#REF!</definedName>
    <definedName name="dl" localSheetId="22">#REF!</definedName>
    <definedName name="dl" localSheetId="2">#REF!</definedName>
    <definedName name="dl" localSheetId="0">#REF!</definedName>
    <definedName name="dl" localSheetId="12">#REF!</definedName>
    <definedName name="dl" localSheetId="10">#REF!</definedName>
    <definedName name="dl" localSheetId="4">#REF!</definedName>
    <definedName name="dl" localSheetId="8">#REF!</definedName>
    <definedName name="dl" localSheetId="20">#REF!</definedName>
    <definedName name="dl" localSheetId="18">#REF!</definedName>
    <definedName name="dl" localSheetId="16">#REF!</definedName>
    <definedName name="dl" localSheetId="15">#REF!</definedName>
    <definedName name="dl" localSheetId="7">#REF!</definedName>
    <definedName name="dl" localSheetId="23">#REF!</definedName>
    <definedName name="dl" localSheetId="3">#REF!</definedName>
    <definedName name="dl" localSheetId="1">#REF!</definedName>
    <definedName name="dl" localSheetId="13">#REF!</definedName>
    <definedName name="dl" localSheetId="11">#REF!</definedName>
    <definedName name="dl" localSheetId="5">#REF!</definedName>
    <definedName name="dl" localSheetId="9">#REF!</definedName>
    <definedName name="dl" localSheetId="21">#REF!</definedName>
    <definedName name="dl" localSheetId="19">#REF!</definedName>
    <definedName name="dl" localSheetId="17">#REF!</definedName>
    <definedName name="dl">#REF!</definedName>
    <definedName name="dsa" localSheetId="14">#REF!</definedName>
    <definedName name="dsa" localSheetId="6">#REF!</definedName>
    <definedName name="dsa" localSheetId="22">#REF!</definedName>
    <definedName name="dsa" localSheetId="2">#REF!</definedName>
    <definedName name="dsa" localSheetId="0">#REF!</definedName>
    <definedName name="dsa" localSheetId="12">#REF!</definedName>
    <definedName name="dsa" localSheetId="10">#REF!</definedName>
    <definedName name="dsa" localSheetId="4">#REF!</definedName>
    <definedName name="dsa" localSheetId="8">#REF!</definedName>
    <definedName name="dsa" localSheetId="20">#REF!</definedName>
    <definedName name="dsa" localSheetId="18">#REF!</definedName>
    <definedName name="dsa" localSheetId="16">#REF!</definedName>
    <definedName name="dsa" localSheetId="15">#REF!</definedName>
    <definedName name="dsa" localSheetId="7">#REF!</definedName>
    <definedName name="dsa" localSheetId="23">#REF!</definedName>
    <definedName name="dsa" localSheetId="3">#REF!</definedName>
    <definedName name="dsa" localSheetId="1">#REF!</definedName>
    <definedName name="dsa" localSheetId="13">#REF!</definedName>
    <definedName name="dsa" localSheetId="11">#REF!</definedName>
    <definedName name="dsa" localSheetId="5">#REF!</definedName>
    <definedName name="dsa" localSheetId="9">#REF!</definedName>
    <definedName name="dsa" localSheetId="21">#REF!</definedName>
    <definedName name="dsa" localSheetId="19">#REF!</definedName>
    <definedName name="dsa" localSheetId="17">#REF!</definedName>
    <definedName name="dsa">#REF!</definedName>
    <definedName name="dss" localSheetId="14">#REF!</definedName>
    <definedName name="dss" localSheetId="6">#REF!</definedName>
    <definedName name="dss" localSheetId="22">#REF!</definedName>
    <definedName name="dss" localSheetId="2">#REF!</definedName>
    <definedName name="dss" localSheetId="0">#REF!</definedName>
    <definedName name="dss" localSheetId="12">#REF!</definedName>
    <definedName name="dss" localSheetId="10">#REF!</definedName>
    <definedName name="dss" localSheetId="4">#REF!</definedName>
    <definedName name="dss" localSheetId="8">#REF!</definedName>
    <definedName name="dss" localSheetId="20">#REF!</definedName>
    <definedName name="dss" localSheetId="18">#REF!</definedName>
    <definedName name="dss" localSheetId="16">#REF!</definedName>
    <definedName name="dss" localSheetId="15">#REF!</definedName>
    <definedName name="dss" localSheetId="7">#REF!</definedName>
    <definedName name="dss" localSheetId="23">#REF!</definedName>
    <definedName name="dss" localSheetId="3">#REF!</definedName>
    <definedName name="dss" localSheetId="1">#REF!</definedName>
    <definedName name="dss" localSheetId="13">#REF!</definedName>
    <definedName name="dss" localSheetId="11">#REF!</definedName>
    <definedName name="dss" localSheetId="5">#REF!</definedName>
    <definedName name="dss" localSheetId="9">#REF!</definedName>
    <definedName name="dss" localSheetId="21">#REF!</definedName>
    <definedName name="dss" localSheetId="19">#REF!</definedName>
    <definedName name="dss" localSheetId="17">#REF!</definedName>
    <definedName name="dss">#REF!</definedName>
    <definedName name="eka" localSheetId="14">#REF!</definedName>
    <definedName name="eka" localSheetId="6">#REF!</definedName>
    <definedName name="eka" localSheetId="22">#REF!</definedName>
    <definedName name="eka" localSheetId="2">#REF!</definedName>
    <definedName name="eka" localSheetId="0">#REF!</definedName>
    <definedName name="eka" localSheetId="12">#REF!</definedName>
    <definedName name="eka" localSheetId="10">#REF!</definedName>
    <definedName name="eka" localSheetId="4">#REF!</definedName>
    <definedName name="eka" localSheetId="8">#REF!</definedName>
    <definedName name="eka" localSheetId="20">#REF!</definedName>
    <definedName name="eka" localSheetId="18">#REF!</definedName>
    <definedName name="eka" localSheetId="16">#REF!</definedName>
    <definedName name="eka" localSheetId="15">#REF!</definedName>
    <definedName name="eka" localSheetId="7">#REF!</definedName>
    <definedName name="eka" localSheetId="23">#REF!</definedName>
    <definedName name="eka" localSheetId="3">#REF!</definedName>
    <definedName name="eka" localSheetId="1">#REF!</definedName>
    <definedName name="eka" localSheetId="13">#REF!</definedName>
    <definedName name="eka" localSheetId="11">#REF!</definedName>
    <definedName name="eka" localSheetId="5">#REF!</definedName>
    <definedName name="eka" localSheetId="9">#REF!</definedName>
    <definedName name="eka" localSheetId="21">#REF!</definedName>
    <definedName name="eka" localSheetId="19">#REF!</definedName>
    <definedName name="eka" localSheetId="17">#REF!</definedName>
    <definedName name="eka">#REF!</definedName>
    <definedName name="f" localSheetId="14">#REF!</definedName>
    <definedName name="f" localSheetId="6">#REF!</definedName>
    <definedName name="f" localSheetId="22">#REF!</definedName>
    <definedName name="f" localSheetId="2">#REF!</definedName>
    <definedName name="f" localSheetId="0">#REF!</definedName>
    <definedName name="f" localSheetId="12">#REF!</definedName>
    <definedName name="f" localSheetId="10">#REF!</definedName>
    <definedName name="f" localSheetId="4">#REF!</definedName>
    <definedName name="f" localSheetId="8">#REF!</definedName>
    <definedName name="f" localSheetId="20">#REF!</definedName>
    <definedName name="f" localSheetId="18">#REF!</definedName>
    <definedName name="f" localSheetId="16">#REF!</definedName>
    <definedName name="f" localSheetId="15">#REF!</definedName>
    <definedName name="f" localSheetId="7">#REF!</definedName>
    <definedName name="f" localSheetId="23">#REF!</definedName>
    <definedName name="f" localSheetId="3">#REF!</definedName>
    <definedName name="f" localSheetId="1">#REF!</definedName>
    <definedName name="f" localSheetId="13">#REF!</definedName>
    <definedName name="f" localSheetId="11">#REF!</definedName>
    <definedName name="f" localSheetId="5">#REF!</definedName>
    <definedName name="f" localSheetId="9">#REF!</definedName>
    <definedName name="f" localSheetId="21">#REF!</definedName>
    <definedName name="f" localSheetId="19">#REF!</definedName>
    <definedName name="f" localSheetId="17">#REF!</definedName>
    <definedName name="f">#REF!</definedName>
    <definedName name="iiiiiiii" localSheetId="14">#REF!</definedName>
    <definedName name="iiiiiiii" localSheetId="6">#REF!</definedName>
    <definedName name="iiiiiiii" localSheetId="22">#REF!</definedName>
    <definedName name="iiiiiiii" localSheetId="2">#REF!</definedName>
    <definedName name="iiiiiiii" localSheetId="0">#REF!</definedName>
    <definedName name="iiiiiiii" localSheetId="12">#REF!</definedName>
    <definedName name="iiiiiiii" localSheetId="10">#REF!</definedName>
    <definedName name="iiiiiiii" localSheetId="4">#REF!</definedName>
    <definedName name="iiiiiiii" localSheetId="8">#REF!</definedName>
    <definedName name="iiiiiiii" localSheetId="20">#REF!</definedName>
    <definedName name="iiiiiiii" localSheetId="18">#REF!</definedName>
    <definedName name="iiiiiiii" localSheetId="16">#REF!</definedName>
    <definedName name="iiiiiiii" localSheetId="15">#REF!</definedName>
    <definedName name="iiiiiiii" localSheetId="7">#REF!</definedName>
    <definedName name="iiiiiiii" localSheetId="23">#REF!</definedName>
    <definedName name="iiiiiiii" localSheetId="3">#REF!</definedName>
    <definedName name="iiiiiiii" localSheetId="1">#REF!</definedName>
    <definedName name="iiiiiiii" localSheetId="13">#REF!</definedName>
    <definedName name="iiiiiiii" localSheetId="11">#REF!</definedName>
    <definedName name="iiiiiiii" localSheetId="5">#REF!</definedName>
    <definedName name="iiiiiiii" localSheetId="9">#REF!</definedName>
    <definedName name="iiiiiiii" localSheetId="21">#REF!</definedName>
    <definedName name="iiiiiiii" localSheetId="19">#REF!</definedName>
    <definedName name="iiiiiiii" localSheetId="17">#REF!</definedName>
    <definedName name="iiiiiiii">#REF!</definedName>
    <definedName name="l" localSheetId="14">#REF!</definedName>
    <definedName name="l" localSheetId="6">#REF!</definedName>
    <definedName name="l" localSheetId="22">#REF!</definedName>
    <definedName name="l" localSheetId="2">#REF!</definedName>
    <definedName name="l" localSheetId="0">#REF!</definedName>
    <definedName name="l" localSheetId="12">#REF!</definedName>
    <definedName name="l" localSheetId="10">#REF!</definedName>
    <definedName name="l" localSheetId="4">#REF!</definedName>
    <definedName name="l" localSheetId="8">#REF!</definedName>
    <definedName name="l" localSheetId="20">#REF!</definedName>
    <definedName name="l" localSheetId="18">#REF!</definedName>
    <definedName name="l" localSheetId="16">#REF!</definedName>
    <definedName name="l" localSheetId="15">#REF!</definedName>
    <definedName name="l" localSheetId="7">#REF!</definedName>
    <definedName name="l" localSheetId="23">#REF!</definedName>
    <definedName name="l" localSheetId="3">#REF!</definedName>
    <definedName name="l" localSheetId="1">#REF!</definedName>
    <definedName name="l" localSheetId="13">#REF!</definedName>
    <definedName name="l" localSheetId="11">#REF!</definedName>
    <definedName name="l" localSheetId="5">#REF!</definedName>
    <definedName name="l" localSheetId="9">#REF!</definedName>
    <definedName name="l" localSheetId="21">#REF!</definedName>
    <definedName name="l" localSheetId="19">#REF!</definedName>
    <definedName name="l" localSheetId="17">#REF!</definedName>
    <definedName name="l">#REF!</definedName>
    <definedName name="lllll" localSheetId="14">#REF!</definedName>
    <definedName name="lllll" localSheetId="6">#REF!</definedName>
    <definedName name="lllll" localSheetId="22">#REF!</definedName>
    <definedName name="lllll" localSheetId="2">#REF!</definedName>
    <definedName name="lllll" localSheetId="0">#REF!</definedName>
    <definedName name="lllll" localSheetId="12">#REF!</definedName>
    <definedName name="lllll" localSheetId="10">#REF!</definedName>
    <definedName name="lllll" localSheetId="4">#REF!</definedName>
    <definedName name="lllll" localSheetId="8">#REF!</definedName>
    <definedName name="lllll" localSheetId="20">#REF!</definedName>
    <definedName name="lllll" localSheetId="18">#REF!</definedName>
    <definedName name="lllll" localSheetId="16">#REF!</definedName>
    <definedName name="lllll" localSheetId="15">#REF!</definedName>
    <definedName name="lllll" localSheetId="7">#REF!</definedName>
    <definedName name="lllll" localSheetId="23">#REF!</definedName>
    <definedName name="lllll" localSheetId="3">#REF!</definedName>
    <definedName name="lllll" localSheetId="1">#REF!</definedName>
    <definedName name="lllll" localSheetId="13">#REF!</definedName>
    <definedName name="lllll" localSheetId="11">#REF!</definedName>
    <definedName name="lllll" localSheetId="5">#REF!</definedName>
    <definedName name="lllll" localSheetId="9">#REF!</definedName>
    <definedName name="lllll" localSheetId="21">#REF!</definedName>
    <definedName name="lllll" localSheetId="19">#REF!</definedName>
    <definedName name="lllll" localSheetId="17">#REF!</definedName>
    <definedName name="lllll">#REF!</definedName>
    <definedName name="meme" localSheetId="14">#REF!</definedName>
    <definedName name="meme" localSheetId="6">#REF!</definedName>
    <definedName name="meme" localSheetId="22">#REF!</definedName>
    <definedName name="meme" localSheetId="2">#REF!</definedName>
    <definedName name="meme" localSheetId="0">#REF!</definedName>
    <definedName name="meme" localSheetId="12">#REF!</definedName>
    <definedName name="meme" localSheetId="10">#REF!</definedName>
    <definedName name="meme" localSheetId="4">#REF!</definedName>
    <definedName name="meme" localSheetId="8">#REF!</definedName>
    <definedName name="meme" localSheetId="20">#REF!</definedName>
    <definedName name="meme" localSheetId="18">#REF!</definedName>
    <definedName name="meme" localSheetId="16">#REF!</definedName>
    <definedName name="meme" localSheetId="15">#REF!</definedName>
    <definedName name="meme" localSheetId="7">#REF!</definedName>
    <definedName name="meme" localSheetId="23">#REF!</definedName>
    <definedName name="meme" localSheetId="3">#REF!</definedName>
    <definedName name="meme" localSheetId="1">#REF!</definedName>
    <definedName name="meme" localSheetId="13">#REF!</definedName>
    <definedName name="meme" localSheetId="11">#REF!</definedName>
    <definedName name="meme" localSheetId="5">#REF!</definedName>
    <definedName name="meme" localSheetId="9">#REF!</definedName>
    <definedName name="meme" localSheetId="21">#REF!</definedName>
    <definedName name="meme" localSheetId="19">#REF!</definedName>
    <definedName name="meme" localSheetId="17">#REF!</definedName>
    <definedName name="meme">#REF!</definedName>
    <definedName name="new" localSheetId="14">#REF!</definedName>
    <definedName name="new" localSheetId="6">#REF!</definedName>
    <definedName name="new" localSheetId="22">#REF!</definedName>
    <definedName name="new" localSheetId="2">#REF!</definedName>
    <definedName name="new" localSheetId="0">#REF!</definedName>
    <definedName name="new" localSheetId="12">#REF!</definedName>
    <definedName name="new" localSheetId="10">#REF!</definedName>
    <definedName name="new" localSheetId="4">#REF!</definedName>
    <definedName name="new" localSheetId="8">#REF!</definedName>
    <definedName name="new" localSheetId="20">#REF!</definedName>
    <definedName name="new" localSheetId="18">#REF!</definedName>
    <definedName name="new" localSheetId="16">#REF!</definedName>
    <definedName name="new" localSheetId="15">#REF!</definedName>
    <definedName name="new" localSheetId="7">#REF!</definedName>
    <definedName name="new" localSheetId="23">#REF!</definedName>
    <definedName name="new" localSheetId="3">#REF!</definedName>
    <definedName name="new" localSheetId="1">#REF!</definedName>
    <definedName name="new" localSheetId="13">#REF!</definedName>
    <definedName name="new" localSheetId="11">#REF!</definedName>
    <definedName name="new" localSheetId="5">#REF!</definedName>
    <definedName name="new" localSheetId="9">#REF!</definedName>
    <definedName name="new" localSheetId="21">#REF!</definedName>
    <definedName name="new" localSheetId="19">#REF!</definedName>
    <definedName name="new" localSheetId="17">#REF!</definedName>
    <definedName name="new">#REF!</definedName>
    <definedName name="oke" localSheetId="14">#REF!</definedName>
    <definedName name="oke" localSheetId="6">#REF!</definedName>
    <definedName name="oke" localSheetId="22">#REF!</definedName>
    <definedName name="oke" localSheetId="2">#REF!</definedName>
    <definedName name="oke" localSheetId="0">#REF!</definedName>
    <definedName name="oke" localSheetId="12">#REF!</definedName>
    <definedName name="oke" localSheetId="10">#REF!</definedName>
    <definedName name="oke" localSheetId="4">#REF!</definedName>
    <definedName name="oke" localSheetId="8">#REF!</definedName>
    <definedName name="oke" localSheetId="20">#REF!</definedName>
    <definedName name="oke" localSheetId="18">#REF!</definedName>
    <definedName name="oke" localSheetId="16">#REF!</definedName>
    <definedName name="oke" localSheetId="15">#REF!</definedName>
    <definedName name="oke" localSheetId="7">#REF!</definedName>
    <definedName name="oke" localSheetId="23">#REF!</definedName>
    <definedName name="oke" localSheetId="3">#REF!</definedName>
    <definedName name="oke" localSheetId="1">#REF!</definedName>
    <definedName name="oke" localSheetId="13">#REF!</definedName>
    <definedName name="oke" localSheetId="11">#REF!</definedName>
    <definedName name="oke" localSheetId="5">#REF!</definedName>
    <definedName name="oke" localSheetId="9">#REF!</definedName>
    <definedName name="oke" localSheetId="21">#REF!</definedName>
    <definedName name="oke" localSheetId="19">#REF!</definedName>
    <definedName name="oke" localSheetId="17">#REF!</definedName>
    <definedName name="oke">#REF!</definedName>
    <definedName name="_xlnm.Print_Area" localSheetId="15">'Rkp Agustus'!$A$1:$I$53</definedName>
    <definedName name="_xlnm.Print_Area" localSheetId="7">'Rkp April'!$A$1:$H$53</definedName>
    <definedName name="_xlnm.Print_Area" localSheetId="23">'Rkp Des'!$A$1:$H$53</definedName>
    <definedName name="_xlnm.Print_Area" localSheetId="3">'Rkp Feb'!$A$1:$H$53</definedName>
    <definedName name="_xlnm.Print_Area" localSheetId="1">'Rkp Jan'!$A$1:$H$53</definedName>
    <definedName name="_xlnm.Print_Area" localSheetId="13">'Rkp Juli'!$A$1:$H$52</definedName>
    <definedName name="_xlnm.Print_Area" localSheetId="11">'Rkp Juni'!$A$1:$H$52</definedName>
    <definedName name="_xlnm.Print_Area" localSheetId="5">'Rkp Maret'!$A$1:$H$53</definedName>
    <definedName name="_xlnm.Print_Area" localSheetId="9">'Rkp Mei'!$A$1:$H$53</definedName>
    <definedName name="_xlnm.Print_Area" localSheetId="21">'Rkp Nov'!$A$1:$H$53</definedName>
    <definedName name="_xlnm.Print_Area" localSheetId="19">'Rkp Okt'!$A$1:$H$53</definedName>
    <definedName name="_xlnm.Print_Area" localSheetId="17">'Rkp Sept'!$A$1:$H$53</definedName>
    <definedName name="_xlnm.Print_Titles" localSheetId="14">'Realisasi Agustus'!$7:$9</definedName>
    <definedName name="_xlnm.Print_Titles" localSheetId="6">'Realisasi April'!$7:$9</definedName>
    <definedName name="_xlnm.Print_Titles" localSheetId="22">'Realisasi Des'!$7:$9</definedName>
    <definedName name="_xlnm.Print_Titles" localSheetId="2">'Realisasi Februari'!$7:$9</definedName>
    <definedName name="_xlnm.Print_Titles" localSheetId="0">'Realisasi Januari'!$7:$9</definedName>
    <definedName name="_xlnm.Print_Titles" localSheetId="12">'Realisasi Juli'!$7:$9</definedName>
    <definedName name="_xlnm.Print_Titles" localSheetId="10">'Realisasi Juni'!$7:$9</definedName>
    <definedName name="_xlnm.Print_Titles" localSheetId="4">'Realisasi Maret'!$7:$9</definedName>
    <definedName name="_xlnm.Print_Titles" localSheetId="8">'Realisasi Mei'!$7:$9</definedName>
    <definedName name="_xlnm.Print_Titles" localSheetId="20">'Realisasi Nov'!$7:$9</definedName>
    <definedName name="_xlnm.Print_Titles" localSheetId="18">'Realisasi Okt'!$7:$9</definedName>
    <definedName name="_xlnm.Print_Titles" localSheetId="16">'Realisasi Sept'!$7:$9</definedName>
    <definedName name="_xlnm.Print_Titles" localSheetId="15">'Rkp Agustus'!$8:$10</definedName>
    <definedName name="_xlnm.Print_Titles" localSheetId="7">'Rkp April'!$8:$10</definedName>
    <definedName name="_xlnm.Print_Titles" localSheetId="23">'Rkp Des'!$8:$10</definedName>
    <definedName name="_xlnm.Print_Titles" localSheetId="3">'Rkp Feb'!$8:$10</definedName>
    <definedName name="_xlnm.Print_Titles" localSheetId="1">'Rkp Jan'!$8:$10</definedName>
    <definedName name="_xlnm.Print_Titles" localSheetId="13">'Rkp Juli'!$8:$10</definedName>
    <definedName name="_xlnm.Print_Titles" localSheetId="11">'Rkp Juni'!$8:$10</definedName>
    <definedName name="_xlnm.Print_Titles" localSheetId="5">'Rkp Maret'!$8:$10</definedName>
    <definedName name="_xlnm.Print_Titles" localSheetId="9">'Rkp Mei'!$8:$10</definedName>
    <definedName name="_xlnm.Print_Titles" localSheetId="21">'Rkp Nov'!$8:$10</definedName>
    <definedName name="_xlnm.Print_Titles" localSheetId="19">'Rkp Okt'!$8:$10</definedName>
    <definedName name="_xlnm.Print_Titles" localSheetId="17">'Rkp Sept'!$8:$10</definedName>
    <definedName name="rado" localSheetId="14">#REF!</definedName>
    <definedName name="rado" localSheetId="6">#REF!</definedName>
    <definedName name="rado" localSheetId="22">#REF!</definedName>
    <definedName name="rado" localSheetId="2">#REF!</definedName>
    <definedName name="rado" localSheetId="0">#REF!</definedName>
    <definedName name="rado" localSheetId="12">#REF!</definedName>
    <definedName name="rado" localSheetId="10">#REF!</definedName>
    <definedName name="rado" localSheetId="4">#REF!</definedName>
    <definedName name="rado" localSheetId="8">#REF!</definedName>
    <definedName name="rado" localSheetId="20">#REF!</definedName>
    <definedName name="rado" localSheetId="18">#REF!</definedName>
    <definedName name="rado" localSheetId="16">#REF!</definedName>
    <definedName name="rado" localSheetId="15">#REF!</definedName>
    <definedName name="rado" localSheetId="7">#REF!</definedName>
    <definedName name="rado" localSheetId="23">#REF!</definedName>
    <definedName name="rado" localSheetId="3">#REF!</definedName>
    <definedName name="rado" localSheetId="1">#REF!</definedName>
    <definedName name="rado" localSheetId="13">#REF!</definedName>
    <definedName name="rado" localSheetId="11">#REF!</definedName>
    <definedName name="rado" localSheetId="5">#REF!</definedName>
    <definedName name="rado" localSheetId="9">#REF!</definedName>
    <definedName name="rado" localSheetId="21">#REF!</definedName>
    <definedName name="rado" localSheetId="19">#REF!</definedName>
    <definedName name="rado" localSheetId="17">#REF!</definedName>
    <definedName name="rado">#REF!</definedName>
    <definedName name="redo" localSheetId="14">#REF!</definedName>
    <definedName name="redo" localSheetId="6">#REF!</definedName>
    <definedName name="redo" localSheetId="22">#REF!</definedName>
    <definedName name="redo" localSheetId="2">#REF!</definedName>
    <definedName name="redo" localSheetId="0">#REF!</definedName>
    <definedName name="redo" localSheetId="12">#REF!</definedName>
    <definedName name="redo" localSheetId="10">#REF!</definedName>
    <definedName name="redo" localSheetId="4">#REF!</definedName>
    <definedName name="redo" localSheetId="8">#REF!</definedName>
    <definedName name="redo" localSheetId="20">#REF!</definedName>
    <definedName name="redo" localSheetId="18">#REF!</definedName>
    <definedName name="redo" localSheetId="16">#REF!</definedName>
    <definedName name="redo" localSheetId="15">#REF!</definedName>
    <definedName name="redo" localSheetId="7">#REF!</definedName>
    <definedName name="redo" localSheetId="23">#REF!</definedName>
    <definedName name="redo" localSheetId="3">#REF!</definedName>
    <definedName name="redo" localSheetId="1">#REF!</definedName>
    <definedName name="redo" localSheetId="13">#REF!</definedName>
    <definedName name="redo" localSheetId="11">#REF!</definedName>
    <definedName name="redo" localSheetId="5">#REF!</definedName>
    <definedName name="redo" localSheetId="9">#REF!</definedName>
    <definedName name="redo" localSheetId="21">#REF!</definedName>
    <definedName name="redo" localSheetId="19">#REF!</definedName>
    <definedName name="redo" localSheetId="17">#REF!</definedName>
    <definedName name="redo">#REF!</definedName>
    <definedName name="rencana" localSheetId="14">#REF!</definedName>
    <definedName name="rencana" localSheetId="6">#REF!</definedName>
    <definedName name="rencana" localSheetId="22">#REF!</definedName>
    <definedName name="rencana" localSheetId="2">#REF!</definedName>
    <definedName name="rencana" localSheetId="0">#REF!</definedName>
    <definedName name="rencana" localSheetId="12">#REF!</definedName>
    <definedName name="rencana" localSheetId="10">#REF!</definedName>
    <definedName name="rencana" localSheetId="4">#REF!</definedName>
    <definedName name="rencana" localSheetId="8">#REF!</definedName>
    <definedName name="rencana" localSheetId="20">#REF!</definedName>
    <definedName name="rencana" localSheetId="18">#REF!</definedName>
    <definedName name="rencana" localSheetId="16">#REF!</definedName>
    <definedName name="rencana" localSheetId="15">#REF!</definedName>
    <definedName name="rencana" localSheetId="7">#REF!</definedName>
    <definedName name="rencana" localSheetId="23">#REF!</definedName>
    <definedName name="rencana" localSheetId="3">#REF!</definedName>
    <definedName name="rencana" localSheetId="1">#REF!</definedName>
    <definedName name="rencana" localSheetId="13">#REF!</definedName>
    <definedName name="rencana" localSheetId="11">#REF!</definedName>
    <definedName name="rencana" localSheetId="5">#REF!</definedName>
    <definedName name="rencana" localSheetId="9">#REF!</definedName>
    <definedName name="rencana" localSheetId="21">#REF!</definedName>
    <definedName name="rencana" localSheetId="19">#REF!</definedName>
    <definedName name="rencana" localSheetId="17">#REF!</definedName>
    <definedName name="rencana">#REF!</definedName>
    <definedName name="s" localSheetId="14">#REF!</definedName>
    <definedName name="s" localSheetId="6">#REF!</definedName>
    <definedName name="s" localSheetId="22">#REF!</definedName>
    <definedName name="s" localSheetId="2">#REF!</definedName>
    <definedName name="s" localSheetId="0">#REF!</definedName>
    <definedName name="s" localSheetId="12">#REF!</definedName>
    <definedName name="s" localSheetId="10">#REF!</definedName>
    <definedName name="s" localSheetId="4">#REF!</definedName>
    <definedName name="s" localSheetId="8">#REF!</definedName>
    <definedName name="s" localSheetId="20">#REF!</definedName>
    <definedName name="s" localSheetId="18">#REF!</definedName>
    <definedName name="s" localSheetId="16">#REF!</definedName>
    <definedName name="s" localSheetId="15">#REF!</definedName>
    <definedName name="s" localSheetId="7">#REF!</definedName>
    <definedName name="s" localSheetId="23">#REF!</definedName>
    <definedName name="s" localSheetId="3">#REF!</definedName>
    <definedName name="s" localSheetId="1">#REF!</definedName>
    <definedName name="s" localSheetId="13">#REF!</definedName>
    <definedName name="s" localSheetId="11">#REF!</definedName>
    <definedName name="s" localSheetId="5">#REF!</definedName>
    <definedName name="s" localSheetId="9">#REF!</definedName>
    <definedName name="s" localSheetId="21">#REF!</definedName>
    <definedName name="s" localSheetId="19">#REF!</definedName>
    <definedName name="s" localSheetId="17">#REF!</definedName>
    <definedName name="s">#REF!</definedName>
    <definedName name="saaaaa" localSheetId="14">#REF!</definedName>
    <definedName name="saaaaa" localSheetId="6">#REF!</definedName>
    <definedName name="saaaaa" localSheetId="22">#REF!</definedName>
    <definedName name="saaaaa" localSheetId="2">#REF!</definedName>
    <definedName name="saaaaa" localSheetId="0">#REF!</definedName>
    <definedName name="saaaaa" localSheetId="12">#REF!</definedName>
    <definedName name="saaaaa" localSheetId="10">#REF!</definedName>
    <definedName name="saaaaa" localSheetId="4">#REF!</definedName>
    <definedName name="saaaaa" localSheetId="8">#REF!</definedName>
    <definedName name="saaaaa" localSheetId="20">#REF!</definedName>
    <definedName name="saaaaa" localSheetId="18">#REF!</definedName>
    <definedName name="saaaaa" localSheetId="16">#REF!</definedName>
    <definedName name="saaaaa" localSheetId="15">#REF!</definedName>
    <definedName name="saaaaa" localSheetId="7">#REF!</definedName>
    <definedName name="saaaaa" localSheetId="23">#REF!</definedName>
    <definedName name="saaaaa" localSheetId="3">#REF!</definedName>
    <definedName name="saaaaa" localSheetId="1">#REF!</definedName>
    <definedName name="saaaaa" localSheetId="13">#REF!</definedName>
    <definedName name="saaaaa" localSheetId="11">#REF!</definedName>
    <definedName name="saaaaa" localSheetId="5">#REF!</definedName>
    <definedName name="saaaaa" localSheetId="9">#REF!</definedName>
    <definedName name="saaaaa" localSheetId="21">#REF!</definedName>
    <definedName name="saaaaa" localSheetId="19">#REF!</definedName>
    <definedName name="saaaaa" localSheetId="17">#REF!</definedName>
    <definedName name="saaaaa">#REF!</definedName>
    <definedName name="sasasa" localSheetId="14">#REF!</definedName>
    <definedName name="sasasa" localSheetId="6">#REF!</definedName>
    <definedName name="sasasa" localSheetId="22">#REF!</definedName>
    <definedName name="sasasa" localSheetId="2">#REF!</definedName>
    <definedName name="sasasa" localSheetId="0">#REF!</definedName>
    <definedName name="sasasa" localSheetId="12">#REF!</definedName>
    <definedName name="sasasa" localSheetId="10">#REF!</definedName>
    <definedName name="sasasa" localSheetId="4">#REF!</definedName>
    <definedName name="sasasa" localSheetId="8">#REF!</definedName>
    <definedName name="sasasa" localSheetId="20">#REF!</definedName>
    <definedName name="sasasa" localSheetId="18">#REF!</definedName>
    <definedName name="sasasa" localSheetId="16">#REF!</definedName>
    <definedName name="sasasa" localSheetId="15">#REF!</definedName>
    <definedName name="sasasa" localSheetId="7">#REF!</definedName>
    <definedName name="sasasa" localSheetId="23">#REF!</definedName>
    <definedName name="sasasa" localSheetId="3">#REF!</definedName>
    <definedName name="sasasa" localSheetId="1">#REF!</definedName>
    <definedName name="sasasa" localSheetId="13">#REF!</definedName>
    <definedName name="sasasa" localSheetId="11">#REF!</definedName>
    <definedName name="sasasa" localSheetId="5">#REF!</definedName>
    <definedName name="sasasa" localSheetId="9">#REF!</definedName>
    <definedName name="sasasa" localSheetId="21">#REF!</definedName>
    <definedName name="sasasa" localSheetId="19">#REF!</definedName>
    <definedName name="sasasa" localSheetId="17">#REF!</definedName>
    <definedName name="sasasa">#REF!</definedName>
    <definedName name="sd" localSheetId="14">#REF!</definedName>
    <definedName name="sd" localSheetId="6">#REF!</definedName>
    <definedName name="sd" localSheetId="22">#REF!</definedName>
    <definedName name="sd" localSheetId="2">#REF!</definedName>
    <definedName name="sd" localSheetId="0">#REF!</definedName>
    <definedName name="sd" localSheetId="12">#REF!</definedName>
    <definedName name="sd" localSheetId="10">#REF!</definedName>
    <definedName name="sd" localSheetId="4">#REF!</definedName>
    <definedName name="sd" localSheetId="8">#REF!</definedName>
    <definedName name="sd" localSheetId="20">#REF!</definedName>
    <definedName name="sd" localSheetId="18">#REF!</definedName>
    <definedName name="sd" localSheetId="16">#REF!</definedName>
    <definedName name="sd" localSheetId="15">#REF!</definedName>
    <definedName name="sd" localSheetId="7">#REF!</definedName>
    <definedName name="sd" localSheetId="23">#REF!</definedName>
    <definedName name="sd" localSheetId="3">#REF!</definedName>
    <definedName name="sd" localSheetId="1">#REF!</definedName>
    <definedName name="sd" localSheetId="13">#REF!</definedName>
    <definedName name="sd" localSheetId="11">#REF!</definedName>
    <definedName name="sd" localSheetId="5">#REF!</definedName>
    <definedName name="sd" localSheetId="9">#REF!</definedName>
    <definedName name="sd" localSheetId="21">#REF!</definedName>
    <definedName name="sd" localSheetId="19">#REF!</definedName>
    <definedName name="sd" localSheetId="17">#REF!</definedName>
    <definedName name="sd">#REF!</definedName>
    <definedName name="SDM" localSheetId="14">#REF!</definedName>
    <definedName name="SDM" localSheetId="6">#REF!</definedName>
    <definedName name="SDM" localSheetId="22">#REF!</definedName>
    <definedName name="SDM" localSheetId="2">#REF!</definedName>
    <definedName name="SDM" localSheetId="0">#REF!</definedName>
    <definedName name="SDM" localSheetId="12">#REF!</definedName>
    <definedName name="SDM" localSheetId="10">#REF!</definedName>
    <definedName name="SDM" localSheetId="4">#REF!</definedName>
    <definedName name="SDM" localSheetId="8">#REF!</definedName>
    <definedName name="SDM" localSheetId="20">#REF!</definedName>
    <definedName name="SDM" localSheetId="18">#REF!</definedName>
    <definedName name="SDM" localSheetId="16">#REF!</definedName>
    <definedName name="SDM" localSheetId="15">#REF!</definedName>
    <definedName name="SDM" localSheetId="7">#REF!</definedName>
    <definedName name="SDM" localSheetId="23">#REF!</definedName>
    <definedName name="SDM" localSheetId="3">#REF!</definedName>
    <definedName name="SDM" localSheetId="1">#REF!</definedName>
    <definedName name="SDM" localSheetId="13">#REF!</definedName>
    <definedName name="SDM" localSheetId="11">#REF!</definedName>
    <definedName name="SDM" localSheetId="5">#REF!</definedName>
    <definedName name="SDM" localSheetId="9">#REF!</definedName>
    <definedName name="SDM" localSheetId="21">#REF!</definedName>
    <definedName name="SDM" localSheetId="19">#REF!</definedName>
    <definedName name="SDM" localSheetId="17">#REF!</definedName>
    <definedName name="SDM">#REF!</definedName>
    <definedName name="ssaasas" localSheetId="14">#REF!</definedName>
    <definedName name="ssaasas" localSheetId="6">#REF!</definedName>
    <definedName name="ssaasas" localSheetId="22">#REF!</definedName>
    <definedName name="ssaasas" localSheetId="2">#REF!</definedName>
    <definedName name="ssaasas" localSheetId="0">#REF!</definedName>
    <definedName name="ssaasas" localSheetId="12">#REF!</definedName>
    <definedName name="ssaasas" localSheetId="10">#REF!</definedName>
    <definedName name="ssaasas" localSheetId="4">#REF!</definedName>
    <definedName name="ssaasas" localSheetId="8">#REF!</definedName>
    <definedName name="ssaasas" localSheetId="20">#REF!</definedName>
    <definedName name="ssaasas" localSheetId="18">#REF!</definedName>
    <definedName name="ssaasas" localSheetId="16">#REF!</definedName>
    <definedName name="ssaasas" localSheetId="15">#REF!</definedName>
    <definedName name="ssaasas" localSheetId="7">#REF!</definedName>
    <definedName name="ssaasas" localSheetId="23">#REF!</definedName>
    <definedName name="ssaasas" localSheetId="3">#REF!</definedName>
    <definedName name="ssaasas" localSheetId="1">#REF!</definedName>
    <definedName name="ssaasas" localSheetId="13">#REF!</definedName>
    <definedName name="ssaasas" localSheetId="11">#REF!</definedName>
    <definedName name="ssaasas" localSheetId="5">#REF!</definedName>
    <definedName name="ssaasas" localSheetId="9">#REF!</definedName>
    <definedName name="ssaasas" localSheetId="21">#REF!</definedName>
    <definedName name="ssaasas" localSheetId="19">#REF!</definedName>
    <definedName name="ssaasas" localSheetId="17">#REF!</definedName>
    <definedName name="ssaasas">#REF!</definedName>
    <definedName name="struktur" localSheetId="14">#REF!</definedName>
    <definedName name="struktur" localSheetId="6">#REF!</definedName>
    <definedName name="struktur" localSheetId="22">#REF!</definedName>
    <definedName name="struktur" localSheetId="2">#REF!</definedName>
    <definedName name="struktur" localSheetId="0">#REF!</definedName>
    <definedName name="struktur" localSheetId="12">#REF!</definedName>
    <definedName name="struktur" localSheetId="10">#REF!</definedName>
    <definedName name="struktur" localSheetId="4">#REF!</definedName>
    <definedName name="struktur" localSheetId="8">#REF!</definedName>
    <definedName name="struktur" localSheetId="20">#REF!</definedName>
    <definedName name="struktur" localSheetId="18">#REF!</definedName>
    <definedName name="struktur" localSheetId="16">#REF!</definedName>
    <definedName name="struktur" localSheetId="15">#REF!</definedName>
    <definedName name="struktur" localSheetId="7">#REF!</definedName>
    <definedName name="struktur" localSheetId="23">#REF!</definedName>
    <definedName name="struktur" localSheetId="3">#REF!</definedName>
    <definedName name="struktur" localSheetId="1">#REF!</definedName>
    <definedName name="struktur" localSheetId="13">#REF!</definedName>
    <definedName name="struktur" localSheetId="11">#REF!</definedName>
    <definedName name="struktur" localSheetId="5">#REF!</definedName>
    <definedName name="struktur" localSheetId="9">#REF!</definedName>
    <definedName name="struktur" localSheetId="21">#REF!</definedName>
    <definedName name="struktur" localSheetId="19">#REF!</definedName>
    <definedName name="struktur" localSheetId="17">#REF!</definedName>
    <definedName name="struktur">#REF!</definedName>
    <definedName name="terbaru" localSheetId="14">#REF!</definedName>
    <definedName name="terbaru" localSheetId="6">#REF!</definedName>
    <definedName name="terbaru" localSheetId="22">#REF!</definedName>
    <definedName name="terbaru" localSheetId="2">#REF!</definedName>
    <definedName name="terbaru" localSheetId="0">#REF!</definedName>
    <definedName name="terbaru" localSheetId="12">#REF!</definedName>
    <definedName name="terbaru" localSheetId="10">#REF!</definedName>
    <definedName name="terbaru" localSheetId="4">#REF!</definedName>
    <definedName name="terbaru" localSheetId="8">#REF!</definedName>
    <definedName name="terbaru" localSheetId="20">#REF!</definedName>
    <definedName name="terbaru" localSheetId="18">#REF!</definedName>
    <definedName name="terbaru" localSheetId="16">#REF!</definedName>
    <definedName name="terbaru" localSheetId="15">#REF!</definedName>
    <definedName name="terbaru" localSheetId="7">#REF!</definedName>
    <definedName name="terbaru" localSheetId="23">#REF!</definedName>
    <definedName name="terbaru" localSheetId="3">#REF!</definedName>
    <definedName name="terbaru" localSheetId="1">#REF!</definedName>
    <definedName name="terbaru" localSheetId="13">#REF!</definedName>
    <definedName name="terbaru" localSheetId="11">#REF!</definedName>
    <definedName name="terbaru" localSheetId="5">#REF!</definedName>
    <definedName name="terbaru" localSheetId="9">#REF!</definedName>
    <definedName name="terbaru" localSheetId="21">#REF!</definedName>
    <definedName name="terbaru" localSheetId="19">#REF!</definedName>
    <definedName name="terbaru" localSheetId="17">#REF!</definedName>
    <definedName name="terbaru">#REF!</definedName>
    <definedName name="TERBARU1" localSheetId="14">#REF!</definedName>
    <definedName name="TERBARU1" localSheetId="6">#REF!</definedName>
    <definedName name="TERBARU1" localSheetId="22">#REF!</definedName>
    <definedName name="TERBARU1" localSheetId="2">#REF!</definedName>
    <definedName name="TERBARU1" localSheetId="0">#REF!</definedName>
    <definedName name="TERBARU1" localSheetId="12">#REF!</definedName>
    <definedName name="TERBARU1" localSheetId="10">#REF!</definedName>
    <definedName name="TERBARU1" localSheetId="4">#REF!</definedName>
    <definedName name="TERBARU1" localSheetId="8">#REF!</definedName>
    <definedName name="TERBARU1" localSheetId="20">#REF!</definedName>
    <definedName name="TERBARU1" localSheetId="18">#REF!</definedName>
    <definedName name="TERBARU1" localSheetId="16">#REF!</definedName>
    <definedName name="TERBARU1" localSheetId="15">#REF!</definedName>
    <definedName name="TERBARU1" localSheetId="7">#REF!</definedName>
    <definedName name="TERBARU1" localSheetId="23">#REF!</definedName>
    <definedName name="TERBARU1" localSheetId="3">#REF!</definedName>
    <definedName name="TERBARU1" localSheetId="1">#REF!</definedName>
    <definedName name="TERBARU1" localSheetId="13">#REF!</definedName>
    <definedName name="TERBARU1" localSheetId="11">#REF!</definedName>
    <definedName name="TERBARU1" localSheetId="5">#REF!</definedName>
    <definedName name="TERBARU1" localSheetId="9">#REF!</definedName>
    <definedName name="TERBARU1" localSheetId="21">#REF!</definedName>
    <definedName name="TERBARU1" localSheetId="19">#REF!</definedName>
    <definedName name="TERBARU1" localSheetId="17">#REF!</definedName>
    <definedName name="TERBARU1">#REF!</definedName>
    <definedName name="terbaru2" localSheetId="14">#REF!</definedName>
    <definedName name="terbaru2" localSheetId="6">#REF!</definedName>
    <definedName name="terbaru2" localSheetId="22">#REF!</definedName>
    <definedName name="terbaru2" localSheetId="2">#REF!</definedName>
    <definedName name="terbaru2" localSheetId="0">#REF!</definedName>
    <definedName name="terbaru2" localSheetId="12">#REF!</definedName>
    <definedName name="terbaru2" localSheetId="10">#REF!</definedName>
    <definedName name="terbaru2" localSheetId="4">#REF!</definedName>
    <definedName name="terbaru2" localSheetId="8">#REF!</definedName>
    <definedName name="terbaru2" localSheetId="20">#REF!</definedName>
    <definedName name="terbaru2" localSheetId="18">#REF!</definedName>
    <definedName name="terbaru2" localSheetId="16">#REF!</definedName>
    <definedName name="terbaru2" localSheetId="15">#REF!</definedName>
    <definedName name="terbaru2" localSheetId="7">#REF!</definedName>
    <definedName name="terbaru2" localSheetId="23">#REF!</definedName>
    <definedName name="terbaru2" localSheetId="3">#REF!</definedName>
    <definedName name="terbaru2" localSheetId="1">#REF!</definedName>
    <definedName name="terbaru2" localSheetId="13">#REF!</definedName>
    <definedName name="terbaru2" localSheetId="11">#REF!</definedName>
    <definedName name="terbaru2" localSheetId="5">#REF!</definedName>
    <definedName name="terbaru2" localSheetId="9">#REF!</definedName>
    <definedName name="terbaru2" localSheetId="21">#REF!</definedName>
    <definedName name="terbaru2" localSheetId="19">#REF!</definedName>
    <definedName name="terbaru2" localSheetId="17">#REF!</definedName>
    <definedName name="terbaru2">#REF!</definedName>
    <definedName name="tttyrfff" localSheetId="14">#REF!</definedName>
    <definedName name="tttyrfff" localSheetId="6">#REF!</definedName>
    <definedName name="tttyrfff" localSheetId="22">#REF!</definedName>
    <definedName name="tttyrfff" localSheetId="2">#REF!</definedName>
    <definedName name="tttyrfff" localSheetId="0">#REF!</definedName>
    <definedName name="tttyrfff" localSheetId="12">#REF!</definedName>
    <definedName name="tttyrfff" localSheetId="10">#REF!</definedName>
    <definedName name="tttyrfff" localSheetId="4">#REF!</definedName>
    <definedName name="tttyrfff" localSheetId="8">#REF!</definedName>
    <definedName name="tttyrfff" localSheetId="20">#REF!</definedName>
    <definedName name="tttyrfff" localSheetId="18">#REF!</definedName>
    <definedName name="tttyrfff" localSheetId="16">#REF!</definedName>
    <definedName name="tttyrfff" localSheetId="15">#REF!</definedName>
    <definedName name="tttyrfff" localSheetId="7">#REF!</definedName>
    <definedName name="tttyrfff" localSheetId="23">#REF!</definedName>
    <definedName name="tttyrfff" localSheetId="3">#REF!</definedName>
    <definedName name="tttyrfff" localSheetId="1">#REF!</definedName>
    <definedName name="tttyrfff" localSheetId="13">#REF!</definedName>
    <definedName name="tttyrfff" localSheetId="11">#REF!</definedName>
    <definedName name="tttyrfff" localSheetId="5">#REF!</definedName>
    <definedName name="tttyrfff" localSheetId="9">#REF!</definedName>
    <definedName name="tttyrfff" localSheetId="21">#REF!</definedName>
    <definedName name="tttyrfff" localSheetId="19">#REF!</definedName>
    <definedName name="tttyrfff" localSheetId="17">#REF!</definedName>
    <definedName name="tttyrfff">#REF!</definedName>
    <definedName name="tuty" localSheetId="14">#REF!</definedName>
    <definedName name="tuty" localSheetId="6">#REF!</definedName>
    <definedName name="tuty" localSheetId="22">#REF!</definedName>
    <definedName name="tuty" localSheetId="2">#REF!</definedName>
    <definedName name="tuty" localSheetId="0">#REF!</definedName>
    <definedName name="tuty" localSheetId="12">#REF!</definedName>
    <definedName name="tuty" localSheetId="10">#REF!</definedName>
    <definedName name="tuty" localSheetId="4">#REF!</definedName>
    <definedName name="tuty" localSheetId="8">#REF!</definedName>
    <definedName name="tuty" localSheetId="20">#REF!</definedName>
    <definedName name="tuty" localSheetId="18">#REF!</definedName>
    <definedName name="tuty" localSheetId="16">#REF!</definedName>
    <definedName name="tuty" localSheetId="15">#REF!</definedName>
    <definedName name="tuty" localSheetId="7">#REF!</definedName>
    <definedName name="tuty" localSheetId="23">#REF!</definedName>
    <definedName name="tuty" localSheetId="3">#REF!</definedName>
    <definedName name="tuty" localSheetId="1">#REF!</definedName>
    <definedName name="tuty" localSheetId="13">#REF!</definedName>
    <definedName name="tuty" localSheetId="11">#REF!</definedName>
    <definedName name="tuty" localSheetId="5">#REF!</definedName>
    <definedName name="tuty" localSheetId="9">#REF!</definedName>
    <definedName name="tuty" localSheetId="21">#REF!</definedName>
    <definedName name="tuty" localSheetId="19">#REF!</definedName>
    <definedName name="tuty" localSheetId="17">#REF!</definedName>
    <definedName name="tuty">#REF!</definedName>
    <definedName name="wardah" localSheetId="14">#REF!</definedName>
    <definedName name="wardah" localSheetId="6">#REF!</definedName>
    <definedName name="wardah" localSheetId="22">#REF!</definedName>
    <definedName name="wardah" localSheetId="2">#REF!</definedName>
    <definedName name="wardah" localSheetId="0">#REF!</definedName>
    <definedName name="wardah" localSheetId="12">#REF!</definedName>
    <definedName name="wardah" localSheetId="10">#REF!</definedName>
    <definedName name="wardah" localSheetId="4">#REF!</definedName>
    <definedName name="wardah" localSheetId="8">#REF!</definedName>
    <definedName name="wardah" localSheetId="20">#REF!</definedName>
    <definedName name="wardah" localSheetId="18">#REF!</definedName>
    <definedName name="wardah" localSheetId="16">#REF!</definedName>
    <definedName name="wardah" localSheetId="15">#REF!</definedName>
    <definedName name="wardah" localSheetId="7">#REF!</definedName>
    <definedName name="wardah" localSheetId="23">#REF!</definedName>
    <definedName name="wardah" localSheetId="3">#REF!</definedName>
    <definedName name="wardah" localSheetId="1">#REF!</definedName>
    <definedName name="wardah" localSheetId="13">#REF!</definedName>
    <definedName name="wardah" localSheetId="11">#REF!</definedName>
    <definedName name="wardah" localSheetId="5">#REF!</definedName>
    <definedName name="wardah" localSheetId="9">#REF!</definedName>
    <definedName name="wardah" localSheetId="21">#REF!</definedName>
    <definedName name="wardah" localSheetId="19">#REF!</definedName>
    <definedName name="wardah" localSheetId="17">#REF!</definedName>
    <definedName name="wardah">#REF!</definedName>
  </definedNames>
  <calcPr calcId="162913"/>
</workbook>
</file>

<file path=xl/calcChain.xml><?xml version="1.0" encoding="utf-8"?>
<calcChain xmlns="http://schemas.openxmlformats.org/spreadsheetml/2006/main">
  <c r="F119" i="57" l="1"/>
  <c r="F116" i="57"/>
  <c r="F21" i="57" l="1"/>
  <c r="F129" i="57" l="1"/>
  <c r="G129" i="57"/>
  <c r="E129" i="57"/>
  <c r="E131" i="57"/>
  <c r="G131" i="57" s="1"/>
  <c r="G131" i="54"/>
  <c r="E131" i="54"/>
  <c r="G131" i="52"/>
  <c r="E131" i="52"/>
  <c r="G131" i="49"/>
  <c r="E131" i="49"/>
  <c r="H130" i="46"/>
  <c r="F130" i="46"/>
  <c r="G127" i="44"/>
  <c r="E127" i="44"/>
  <c r="G127" i="42"/>
  <c r="E127" i="42"/>
  <c r="G127" i="40"/>
  <c r="E127" i="40"/>
  <c r="G125" i="38"/>
  <c r="G124" i="38" s="1"/>
  <c r="F124" i="38"/>
  <c r="F123" i="38" s="1"/>
  <c r="E124" i="38"/>
  <c r="E125" i="38"/>
  <c r="G124" i="36"/>
  <c r="F124" i="36"/>
  <c r="F139" i="33" l="1"/>
  <c r="F138" i="33"/>
  <c r="H192" i="57" l="1"/>
  <c r="E17" i="47" l="1"/>
  <c r="E14" i="46"/>
  <c r="F15" i="58" l="1"/>
  <c r="F307" i="57" l="1"/>
  <c r="H258" i="57"/>
  <c r="H238" i="57"/>
  <c r="H239" i="57"/>
  <c r="H240" i="57"/>
  <c r="H241" i="57"/>
  <c r="H242" i="57"/>
  <c r="H243" i="57"/>
  <c r="H244" i="57"/>
  <c r="H245" i="57"/>
  <c r="H246" i="57"/>
  <c r="F123" i="36"/>
  <c r="G123" i="36"/>
  <c r="E123" i="38"/>
  <c r="G123" i="38"/>
  <c r="E122" i="57" l="1"/>
  <c r="E121" i="57" s="1"/>
  <c r="F154" i="57" l="1"/>
  <c r="F26" i="57"/>
  <c r="F18" i="57"/>
  <c r="F434" i="57" l="1"/>
  <c r="G434" i="57"/>
  <c r="F435" i="57"/>
  <c r="G435" i="57"/>
  <c r="F243" i="52"/>
  <c r="F56" i="57" l="1"/>
  <c r="F273" i="57" l="1"/>
  <c r="F269" i="57"/>
  <c r="F21" i="42" l="1"/>
  <c r="F264" i="57" l="1"/>
  <c r="G264" i="57"/>
  <c r="E264" i="57"/>
  <c r="F236" i="57"/>
  <c r="D235" i="57"/>
  <c r="D236" i="57"/>
  <c r="F419" i="54" l="1"/>
  <c r="F418" i="54" s="1"/>
  <c r="D417" i="54"/>
  <c r="G434" i="54"/>
  <c r="E434" i="54"/>
  <c r="F434" i="54"/>
  <c r="F435" i="54"/>
  <c r="G435" i="54"/>
  <c r="E435" i="54"/>
  <c r="F264" i="54"/>
  <c r="G264" i="54"/>
  <c r="E264" i="54"/>
  <c r="F235" i="54"/>
  <c r="F236" i="54"/>
  <c r="D235" i="54"/>
  <c r="D236" i="54"/>
  <c r="E235" i="52"/>
  <c r="E236" i="52"/>
  <c r="D235" i="52"/>
  <c r="D236" i="52"/>
  <c r="G235" i="49"/>
  <c r="G236" i="49"/>
  <c r="F235" i="49"/>
  <c r="E235" i="49"/>
  <c r="E236" i="49"/>
  <c r="F236" i="49"/>
  <c r="D235" i="49"/>
  <c r="D236" i="49"/>
  <c r="H234" i="46"/>
  <c r="G234" i="46"/>
  <c r="F234" i="46"/>
  <c r="H235" i="46"/>
  <c r="G235" i="46"/>
  <c r="F235" i="46"/>
  <c r="G231" i="44"/>
  <c r="E231" i="44"/>
  <c r="F232" i="44"/>
  <c r="F231" i="44" s="1"/>
  <c r="G232" i="44"/>
  <c r="E232" i="44"/>
  <c r="G232" i="42"/>
  <c r="G231" i="42" s="1"/>
  <c r="F231" i="42"/>
  <c r="F232" i="42"/>
  <c r="E231" i="42"/>
  <c r="D231" i="42"/>
  <c r="F233" i="42"/>
  <c r="D108" i="54" l="1"/>
  <c r="D110" i="54"/>
  <c r="G110" i="49"/>
  <c r="D110" i="49"/>
  <c r="D108" i="49"/>
  <c r="F110" i="49"/>
  <c r="D110" i="52"/>
  <c r="E112" i="52"/>
  <c r="F112" i="52"/>
  <c r="G112" i="52"/>
  <c r="D112" i="52"/>
  <c r="F264" i="52"/>
  <c r="G264" i="52"/>
  <c r="E264" i="52"/>
  <c r="G264" i="49"/>
  <c r="F264" i="49"/>
  <c r="F246" i="49"/>
  <c r="F244" i="49"/>
  <c r="F243" i="49"/>
  <c r="F242" i="49"/>
  <c r="F240" i="49"/>
  <c r="F239" i="49"/>
  <c r="G245" i="46"/>
  <c r="G243" i="46"/>
  <c r="G242" i="46"/>
  <c r="G241" i="46"/>
  <c r="G239" i="46"/>
  <c r="G238" i="46"/>
  <c r="F244" i="57" l="1"/>
  <c r="F243" i="57"/>
  <c r="F246" i="57"/>
  <c r="F242" i="57"/>
  <c r="F239" i="57"/>
  <c r="F240" i="57"/>
  <c r="G171" i="57" l="1"/>
  <c r="G172" i="57"/>
  <c r="G173" i="57"/>
  <c r="G174" i="57"/>
  <c r="G175" i="57"/>
  <c r="G177" i="57"/>
  <c r="G178" i="57"/>
  <c r="G179" i="57"/>
  <c r="G180" i="57"/>
  <c r="G181" i="57"/>
  <c r="G183" i="57"/>
  <c r="G184" i="57"/>
  <c r="G186" i="57"/>
  <c r="G187" i="57"/>
  <c r="G188" i="57"/>
  <c r="G190" i="57"/>
  <c r="G191" i="57"/>
  <c r="G193" i="57"/>
  <c r="G196" i="57"/>
  <c r="G197" i="57"/>
  <c r="G199" i="57"/>
  <c r="G200" i="57"/>
  <c r="G201" i="57"/>
  <c r="G203" i="57"/>
  <c r="G204" i="57"/>
  <c r="G170" i="57"/>
  <c r="E202" i="57"/>
  <c r="F202" i="57"/>
  <c r="G202" i="57" s="1"/>
  <c r="E198" i="57"/>
  <c r="F198" i="57"/>
  <c r="G198" i="57" s="1"/>
  <c r="E195" i="57"/>
  <c r="F195" i="57"/>
  <c r="E189" i="57"/>
  <c r="G189" i="57" s="1"/>
  <c r="F189" i="57"/>
  <c r="E185" i="57"/>
  <c r="F185" i="57"/>
  <c r="E182" i="57"/>
  <c r="F182" i="57"/>
  <c r="E176" i="57"/>
  <c r="F176" i="57"/>
  <c r="E169" i="57"/>
  <c r="F169" i="57"/>
  <c r="E192" i="57"/>
  <c r="E193" i="57"/>
  <c r="E196" i="57"/>
  <c r="E197" i="57"/>
  <c r="E199" i="57"/>
  <c r="E200" i="57"/>
  <c r="E201" i="57"/>
  <c r="E203" i="57"/>
  <c r="E204" i="57"/>
  <c r="F24" i="58"/>
  <c r="F18" i="58"/>
  <c r="G185" i="57" l="1"/>
  <c r="G182" i="57"/>
  <c r="E168" i="57"/>
  <c r="E167" i="57" s="1"/>
  <c r="E166" i="57" s="1"/>
  <c r="G176" i="57"/>
  <c r="G195" i="57"/>
  <c r="F168" i="57"/>
  <c r="G169" i="57"/>
  <c r="F78" i="54" l="1"/>
  <c r="F75" i="54"/>
  <c r="F73" i="54"/>
  <c r="F71" i="54"/>
  <c r="F68" i="54"/>
  <c r="F66" i="54"/>
  <c r="E168" i="54" l="1"/>
  <c r="F168" i="54"/>
  <c r="G168" i="54"/>
  <c r="D168" i="54"/>
  <c r="G192" i="54"/>
  <c r="F21" i="54" l="1"/>
  <c r="F56" i="54" l="1"/>
  <c r="F246" i="54" l="1"/>
  <c r="F244" i="54"/>
  <c r="F243" i="54"/>
  <c r="F242" i="54"/>
  <c r="F240" i="54"/>
  <c r="F239" i="54"/>
  <c r="D202" i="57" l="1"/>
  <c r="D198" i="57"/>
  <c r="D168" i="57" s="1"/>
  <c r="D167" i="57" s="1"/>
  <c r="D166" i="57" s="1"/>
  <c r="D195" i="57"/>
  <c r="D189" i="57"/>
  <c r="D185" i="57"/>
  <c r="D182" i="57"/>
  <c r="D176" i="57"/>
  <c r="D169" i="57"/>
  <c r="D166" i="54"/>
  <c r="D167" i="54"/>
  <c r="F299" i="54" l="1"/>
  <c r="E436" i="57" l="1"/>
  <c r="E429" i="57"/>
  <c r="E412" i="57"/>
  <c r="E369" i="57"/>
  <c r="E370" i="57"/>
  <c r="E378" i="57"/>
  <c r="E379" i="57"/>
  <c r="E381" i="57"/>
  <c r="E382" i="57"/>
  <c r="E384" i="57"/>
  <c r="E385" i="57"/>
  <c r="E386" i="57"/>
  <c r="E387" i="57"/>
  <c r="E388" i="57"/>
  <c r="E389" i="57"/>
  <c r="E390" i="57"/>
  <c r="E392" i="57"/>
  <c r="E393" i="57"/>
  <c r="E395" i="57"/>
  <c r="E396" i="57"/>
  <c r="E398" i="57"/>
  <c r="E399" i="57"/>
  <c r="E401" i="57"/>
  <c r="E402" i="57"/>
  <c r="E404" i="57"/>
  <c r="E405" i="57"/>
  <c r="E407" i="57"/>
  <c r="E408" i="57"/>
  <c r="E311" i="57"/>
  <c r="E312" i="57"/>
  <c r="E313" i="57"/>
  <c r="E314" i="57"/>
  <c r="E315" i="57"/>
  <c r="E316" i="57"/>
  <c r="E317" i="57"/>
  <c r="E318" i="57"/>
  <c r="E319" i="57"/>
  <c r="E320" i="57"/>
  <c r="E321" i="57"/>
  <c r="E322" i="57"/>
  <c r="E323" i="57"/>
  <c r="E324" i="57"/>
  <c r="E325" i="57"/>
  <c r="E306" i="57"/>
  <c r="E309" i="57"/>
  <c r="E305" i="57"/>
  <c r="E300" i="57"/>
  <c r="E301" i="57"/>
  <c r="E302" i="57"/>
  <c r="E303" i="57"/>
  <c r="E289" i="57"/>
  <c r="E282" i="57"/>
  <c r="E283" i="57"/>
  <c r="E278" i="57"/>
  <c r="E277" i="57"/>
  <c r="E274" i="57"/>
  <c r="E273" i="57"/>
  <c r="E270" i="57"/>
  <c r="E269" i="57"/>
  <c r="E265" i="57"/>
  <c r="E261" i="57"/>
  <c r="E258" i="57"/>
  <c r="E249" i="57"/>
  <c r="E250" i="57"/>
  <c r="E251" i="57"/>
  <c r="E252" i="57"/>
  <c r="E253" i="57"/>
  <c r="E254" i="57"/>
  <c r="E255" i="57"/>
  <c r="E256" i="57"/>
  <c r="E248" i="57"/>
  <c r="E241" i="57"/>
  <c r="E245" i="57"/>
  <c r="G148" i="57" l="1"/>
  <c r="H148" i="57" s="1"/>
  <c r="G152" i="57"/>
  <c r="H152" i="57" s="1"/>
  <c r="E155" i="57"/>
  <c r="G135" i="57"/>
  <c r="H135" i="57" s="1"/>
  <c r="E35" i="57"/>
  <c r="G25" i="57"/>
  <c r="F41" i="58"/>
  <c r="F40" i="58"/>
  <c r="F39" i="58"/>
  <c r="H39" i="58" s="1"/>
  <c r="H38" i="58"/>
  <c r="F38" i="58"/>
  <c r="F37" i="58"/>
  <c r="F35" i="58"/>
  <c r="G35" i="58" s="1"/>
  <c r="H35" i="58" s="1"/>
  <c r="F34" i="58"/>
  <c r="G34" i="58" s="1"/>
  <c r="H34" i="58" s="1"/>
  <c r="F33" i="58"/>
  <c r="G33" i="58" s="1"/>
  <c r="H33" i="58" s="1"/>
  <c r="D33" i="58"/>
  <c r="F32" i="58"/>
  <c r="G32" i="58" s="1"/>
  <c r="D32" i="58"/>
  <c r="D31" i="58" s="1"/>
  <c r="F31" i="58"/>
  <c r="E31" i="58"/>
  <c r="D28" i="58"/>
  <c r="D22" i="58"/>
  <c r="D21" i="58" s="1"/>
  <c r="D17" i="58"/>
  <c r="D16" i="58"/>
  <c r="D15" i="58"/>
  <c r="D14" i="58" s="1"/>
  <c r="D13" i="58"/>
  <c r="F470" i="57"/>
  <c r="I470" i="57" s="1"/>
  <c r="D470" i="57"/>
  <c r="F469" i="57"/>
  <c r="D469" i="57"/>
  <c r="F468" i="57"/>
  <c r="D468" i="57"/>
  <c r="F467" i="57"/>
  <c r="D467" i="57"/>
  <c r="F466" i="57"/>
  <c r="D466" i="57"/>
  <c r="I465" i="57"/>
  <c r="F465" i="57"/>
  <c r="D465" i="57"/>
  <c r="I464" i="57"/>
  <c r="F464" i="57"/>
  <c r="D464" i="57"/>
  <c r="F463" i="57"/>
  <c r="I463" i="57" s="1"/>
  <c r="D463" i="57"/>
  <c r="I462" i="57"/>
  <c r="H459" i="57"/>
  <c r="G458" i="57"/>
  <c r="F458" i="57"/>
  <c r="D458" i="57"/>
  <c r="H453" i="57"/>
  <c r="H448" i="57"/>
  <c r="H447" i="57"/>
  <c r="H446" i="57"/>
  <c r="H445" i="57"/>
  <c r="G445" i="57"/>
  <c r="G444" i="57"/>
  <c r="F444" i="57"/>
  <c r="D444" i="57"/>
  <c r="F443" i="57"/>
  <c r="F442" i="57"/>
  <c r="F441" i="57"/>
  <c r="G440" i="57"/>
  <c r="H440" i="57" s="1"/>
  <c r="H439" i="57"/>
  <c r="G439" i="57"/>
  <c r="F438" i="57"/>
  <c r="D438" i="57"/>
  <c r="G436" i="57"/>
  <c r="D434" i="57"/>
  <c r="D431" i="57" s="1"/>
  <c r="F431" i="57"/>
  <c r="F30" i="58" s="1"/>
  <c r="G433" i="57"/>
  <c r="G432" i="57"/>
  <c r="F432" i="57"/>
  <c r="D432" i="57"/>
  <c r="G429" i="57"/>
  <c r="H429" i="57" s="1"/>
  <c r="F419" i="57"/>
  <c r="F418" i="57" s="1"/>
  <c r="D419" i="57"/>
  <c r="D418" i="57"/>
  <c r="D417" i="57"/>
  <c r="G415" i="57"/>
  <c r="G414" i="57"/>
  <c r="G413" i="57"/>
  <c r="G412" i="57"/>
  <c r="H412" i="57" s="1"/>
  <c r="G411" i="57"/>
  <c r="F411" i="57"/>
  <c r="F410" i="57" s="1"/>
  <c r="F27" i="58" s="1"/>
  <c r="E411" i="57"/>
  <c r="D411" i="57"/>
  <c r="E410" i="57"/>
  <c r="D410" i="57"/>
  <c r="G408" i="57"/>
  <c r="F407" i="57"/>
  <c r="D407" i="57"/>
  <c r="G405" i="57"/>
  <c r="F404" i="57"/>
  <c r="D404" i="57"/>
  <c r="G402" i="57"/>
  <c r="F401" i="57"/>
  <c r="D401" i="57"/>
  <c r="G399" i="57"/>
  <c r="F398" i="57"/>
  <c r="D398" i="57"/>
  <c r="G396" i="57"/>
  <c r="F395" i="57"/>
  <c r="D395" i="57"/>
  <c r="G393" i="57"/>
  <c r="H393" i="57" s="1"/>
  <c r="G392" i="57"/>
  <c r="F392" i="57"/>
  <c r="D392" i="57"/>
  <c r="G391" i="57"/>
  <c r="G390" i="57"/>
  <c r="H390" i="57" s="1"/>
  <c r="G389" i="57"/>
  <c r="H389" i="57" s="1"/>
  <c r="G388" i="57"/>
  <c r="G387" i="57"/>
  <c r="H387" i="57" s="1"/>
  <c r="G386" i="57"/>
  <c r="H386" i="57" s="1"/>
  <c r="G385" i="57"/>
  <c r="H385" i="57" s="1"/>
  <c r="F384" i="57"/>
  <c r="D384" i="57"/>
  <c r="G382" i="57"/>
  <c r="G381" i="57" s="1"/>
  <c r="H381" i="57" s="1"/>
  <c r="F381" i="57"/>
  <c r="D381" i="57"/>
  <c r="G379" i="57"/>
  <c r="G378" i="57" s="1"/>
  <c r="H378" i="57" s="1"/>
  <c r="F378" i="57"/>
  <c r="D378" i="57"/>
  <c r="F375" i="57"/>
  <c r="D375" i="57"/>
  <c r="F372" i="57"/>
  <c r="D372" i="57"/>
  <c r="G370" i="57"/>
  <c r="F369" i="57"/>
  <c r="D369" i="57"/>
  <c r="F366" i="57"/>
  <c r="D366" i="57"/>
  <c r="D365" i="57"/>
  <c r="G363" i="57"/>
  <c r="F362" i="57"/>
  <c r="D362" i="57"/>
  <c r="G362" i="57" s="1"/>
  <c r="G361" i="57"/>
  <c r="F360" i="57"/>
  <c r="D360" i="57"/>
  <c r="G360" i="57" s="1"/>
  <c r="G359" i="57"/>
  <c r="F358" i="57"/>
  <c r="D358" i="57"/>
  <c r="G358" i="57" s="1"/>
  <c r="G357" i="57"/>
  <c r="G356" i="57"/>
  <c r="F355" i="57"/>
  <c r="G355" i="57" s="1"/>
  <c r="D355" i="57"/>
  <c r="G354" i="57"/>
  <c r="F353" i="57"/>
  <c r="G353" i="57" s="1"/>
  <c r="D353" i="57"/>
  <c r="G352" i="57"/>
  <c r="F351" i="57"/>
  <c r="D351" i="57"/>
  <c r="D350" i="57"/>
  <c r="G348" i="57"/>
  <c r="H348" i="57" s="1"/>
  <c r="G347" i="57"/>
  <c r="H347" i="57" s="1"/>
  <c r="F347" i="57"/>
  <c r="D347" i="57"/>
  <c r="G346" i="57"/>
  <c r="F345" i="57"/>
  <c r="E345" i="57"/>
  <c r="D345" i="57"/>
  <c r="H344" i="57"/>
  <c r="G344" i="57"/>
  <c r="G343" i="57" s="1"/>
  <c r="H343" i="57" s="1"/>
  <c r="F343" i="57"/>
  <c r="D343" i="57"/>
  <c r="H342" i="57"/>
  <c r="G342" i="57"/>
  <c r="H341" i="57"/>
  <c r="G341" i="57"/>
  <c r="F341" i="57"/>
  <c r="D341" i="57"/>
  <c r="H340" i="57"/>
  <c r="G340" i="57"/>
  <c r="G339" i="57" s="1"/>
  <c r="H339" i="57" s="1"/>
  <c r="F339" i="57"/>
  <c r="D339" i="57"/>
  <c r="H338" i="57"/>
  <c r="G338" i="57"/>
  <c r="H337" i="57"/>
  <c r="G337" i="57"/>
  <c r="F337" i="57"/>
  <c r="D337" i="57"/>
  <c r="E335" i="57"/>
  <c r="G335" i="57" s="1"/>
  <c r="H335" i="57" s="1"/>
  <c r="G334" i="57"/>
  <c r="H334" i="57" s="1"/>
  <c r="E334" i="57"/>
  <c r="H333" i="57"/>
  <c r="E333" i="57"/>
  <c r="G333" i="57" s="1"/>
  <c r="G332" i="57"/>
  <c r="H332" i="57" s="1"/>
  <c r="E332" i="57"/>
  <c r="E331" i="57"/>
  <c r="G330" i="57"/>
  <c r="E330" i="57"/>
  <c r="H329" i="57"/>
  <c r="G329" i="57"/>
  <c r="F328" i="57"/>
  <c r="D328" i="57"/>
  <c r="D327" i="57" s="1"/>
  <c r="G325" i="57"/>
  <c r="G324" i="57" s="1"/>
  <c r="H324" i="57" s="1"/>
  <c r="F324" i="57"/>
  <c r="D324" i="57"/>
  <c r="G323" i="57"/>
  <c r="H323" i="57" s="1"/>
  <c r="G322" i="57"/>
  <c r="F321" i="57"/>
  <c r="D321" i="57"/>
  <c r="G320" i="57"/>
  <c r="H320" i="57" s="1"/>
  <c r="G319" i="57"/>
  <c r="F319" i="57"/>
  <c r="D319" i="57"/>
  <c r="G318" i="57"/>
  <c r="H318" i="57" s="1"/>
  <c r="F317" i="57"/>
  <c r="D317" i="57"/>
  <c r="G316" i="57"/>
  <c r="H316" i="57" s="1"/>
  <c r="F315" i="57"/>
  <c r="D315" i="57"/>
  <c r="G314" i="57"/>
  <c r="H314" i="57" s="1"/>
  <c r="G313" i="57"/>
  <c r="H313" i="57" s="1"/>
  <c r="D313" i="57"/>
  <c r="H312" i="57"/>
  <c r="G312" i="57"/>
  <c r="G311" i="57"/>
  <c r="H311" i="57" s="1"/>
  <c r="D311" i="57"/>
  <c r="G309" i="57"/>
  <c r="H309" i="57" s="1"/>
  <c r="G306" i="57"/>
  <c r="H306" i="57" s="1"/>
  <c r="F304" i="57"/>
  <c r="D304" i="57"/>
  <c r="G303" i="57"/>
  <c r="H303" i="57" s="1"/>
  <c r="G302" i="57"/>
  <c r="H302" i="57" s="1"/>
  <c r="G301" i="57"/>
  <c r="H301" i="57" s="1"/>
  <c r="G300" i="57"/>
  <c r="H300" i="57" s="1"/>
  <c r="F298" i="57"/>
  <c r="D298" i="57"/>
  <c r="E291" i="57"/>
  <c r="G291" i="57" s="1"/>
  <c r="H291" i="57" s="1"/>
  <c r="F290" i="57"/>
  <c r="E290" i="57"/>
  <c r="G289" i="57"/>
  <c r="F288" i="57"/>
  <c r="E288" i="57"/>
  <c r="E287" i="57"/>
  <c r="G286" i="57"/>
  <c r="G285" i="57" s="1"/>
  <c r="E286" i="57"/>
  <c r="F285" i="57"/>
  <c r="E285" i="57"/>
  <c r="G283" i="57"/>
  <c r="H283" i="57" s="1"/>
  <c r="G282" i="57"/>
  <c r="H282" i="57" s="1"/>
  <c r="F282" i="57"/>
  <c r="F280" i="57"/>
  <c r="G279" i="57"/>
  <c r="G278" i="57"/>
  <c r="H278" i="57" s="1"/>
  <c r="F276" i="57"/>
  <c r="G274" i="57"/>
  <c r="H274" i="57" s="1"/>
  <c r="G273" i="57"/>
  <c r="G272" i="57" s="1"/>
  <c r="H272" i="57" s="1"/>
  <c r="F272" i="57"/>
  <c r="E272" i="57"/>
  <c r="G270" i="57"/>
  <c r="H270" i="57" s="1"/>
  <c r="G269" i="57"/>
  <c r="F268" i="57"/>
  <c r="E268" i="57"/>
  <c r="G265" i="57"/>
  <c r="H264" i="57" s="1"/>
  <c r="G261" i="57"/>
  <c r="F260" i="57"/>
  <c r="G258" i="57"/>
  <c r="G256" i="57"/>
  <c r="H256" i="57" s="1"/>
  <c r="G255" i="57"/>
  <c r="H255" i="57" s="1"/>
  <c r="G254" i="57"/>
  <c r="H254" i="57" s="1"/>
  <c r="G253" i="57"/>
  <c r="H253" i="57" s="1"/>
  <c r="G252" i="57"/>
  <c r="H252" i="57" s="1"/>
  <c r="G251" i="57"/>
  <c r="H251" i="57" s="1"/>
  <c r="G250" i="57"/>
  <c r="H250" i="57" s="1"/>
  <c r="G249" i="57"/>
  <c r="H249" i="57" s="1"/>
  <c r="G248" i="57"/>
  <c r="F247" i="57"/>
  <c r="D247" i="57"/>
  <c r="G245" i="57"/>
  <c r="G241" i="57"/>
  <c r="D237" i="57"/>
  <c r="E229" i="57"/>
  <c r="G229" i="57" s="1"/>
  <c r="H229" i="57" s="1"/>
  <c r="H228" i="57"/>
  <c r="G228" i="57"/>
  <c r="E228" i="57"/>
  <c r="G227" i="57"/>
  <c r="H227" i="57" s="1"/>
  <c r="F227" i="57"/>
  <c r="D227" i="57"/>
  <c r="G226" i="57"/>
  <c r="H226" i="57" s="1"/>
  <c r="F226" i="57"/>
  <c r="D226" i="57"/>
  <c r="F223" i="57"/>
  <c r="F222" i="57" s="1"/>
  <c r="F221" i="57" s="1"/>
  <c r="F220" i="57" s="1"/>
  <c r="D223" i="57"/>
  <c r="D222" i="57"/>
  <c r="D221" i="57" s="1"/>
  <c r="D220" i="57" s="1"/>
  <c r="L213" i="57"/>
  <c r="F208" i="57"/>
  <c r="F207" i="57" s="1"/>
  <c r="F206" i="57" s="1"/>
  <c r="D208" i="57"/>
  <c r="D207" i="57" s="1"/>
  <c r="D206" i="57" s="1"/>
  <c r="E205" i="57"/>
  <c r="F192" i="57"/>
  <c r="F163" i="57"/>
  <c r="D163" i="57"/>
  <c r="F160" i="57"/>
  <c r="D160" i="57"/>
  <c r="D159" i="57" s="1"/>
  <c r="H157" i="57"/>
  <c r="E157" i="57"/>
  <c r="H155" i="57"/>
  <c r="G155" i="57"/>
  <c r="G153" i="57"/>
  <c r="G151" i="57"/>
  <c r="H151" i="57" s="1"/>
  <c r="G149" i="57"/>
  <c r="H149" i="57" s="1"/>
  <c r="G147" i="57"/>
  <c r="H147" i="57" s="1"/>
  <c r="F144" i="57"/>
  <c r="D144" i="57"/>
  <c r="E142" i="57"/>
  <c r="G142" i="57" s="1"/>
  <c r="F139" i="57"/>
  <c r="F138" i="57" s="1"/>
  <c r="D139" i="57"/>
  <c r="D138" i="57"/>
  <c r="G136" i="57"/>
  <c r="G133" i="57"/>
  <c r="H133" i="57" s="1"/>
  <c r="G132" i="57"/>
  <c r="F130" i="57"/>
  <c r="D131" i="57"/>
  <c r="D130" i="57"/>
  <c r="D129" i="57" s="1"/>
  <c r="F125" i="57"/>
  <c r="D125" i="57"/>
  <c r="G123" i="57"/>
  <c r="H123" i="57" s="1"/>
  <c r="F122" i="57"/>
  <c r="F121" i="57" s="1"/>
  <c r="D122" i="57"/>
  <c r="D121" i="57"/>
  <c r="E120" i="57"/>
  <c r="F118" i="57"/>
  <c r="D118" i="57"/>
  <c r="F115" i="57"/>
  <c r="D115" i="57"/>
  <c r="G113" i="57"/>
  <c r="F112" i="57"/>
  <c r="D112" i="57"/>
  <c r="F110" i="57"/>
  <c r="D110" i="57"/>
  <c r="G106" i="57"/>
  <c r="H106" i="57" s="1"/>
  <c r="G105" i="57"/>
  <c r="H105" i="57" s="1"/>
  <c r="E103" i="57"/>
  <c r="E102" i="57" s="1"/>
  <c r="F103" i="57"/>
  <c r="D103" i="57"/>
  <c r="D102" i="57" s="1"/>
  <c r="F102" i="57"/>
  <c r="F99" i="57"/>
  <c r="F98" i="57" s="1"/>
  <c r="F97" i="57" s="1"/>
  <c r="D99" i="57"/>
  <c r="D98" i="57" s="1"/>
  <c r="D97" i="57" s="1"/>
  <c r="F94" i="57"/>
  <c r="D94" i="57"/>
  <c r="F93" i="57"/>
  <c r="F92" i="57" s="1"/>
  <c r="D93" i="57"/>
  <c r="D92" i="57"/>
  <c r="H90" i="57"/>
  <c r="G90" i="57"/>
  <c r="E90" i="57"/>
  <c r="G89" i="57"/>
  <c r="H89" i="57" s="1"/>
  <c r="F89" i="57"/>
  <c r="D89" i="57"/>
  <c r="G88" i="57"/>
  <c r="H88" i="57" s="1"/>
  <c r="E88" i="57"/>
  <c r="F87" i="57"/>
  <c r="F86" i="57" s="1"/>
  <c r="F85" i="57" s="1"/>
  <c r="D87" i="57"/>
  <c r="D86" i="57"/>
  <c r="D85" i="57"/>
  <c r="F82" i="57"/>
  <c r="F81" i="57" s="1"/>
  <c r="F80" i="57" s="1"/>
  <c r="D82" i="57"/>
  <c r="D81" i="57" s="1"/>
  <c r="D80" i="57"/>
  <c r="F77" i="57"/>
  <c r="F76" i="57" s="1"/>
  <c r="D77" i="57"/>
  <c r="D76" i="57" s="1"/>
  <c r="F74" i="57"/>
  <c r="D74" i="57"/>
  <c r="F72" i="57"/>
  <c r="D72" i="57"/>
  <c r="F70" i="57"/>
  <c r="D70" i="57"/>
  <c r="D69" i="57" s="1"/>
  <c r="F67" i="57"/>
  <c r="D67" i="57"/>
  <c r="F65" i="57"/>
  <c r="D65" i="57"/>
  <c r="D64" i="57"/>
  <c r="D63" i="57" s="1"/>
  <c r="D60" i="57"/>
  <c r="D59" i="57"/>
  <c r="D58" i="57"/>
  <c r="F55" i="57"/>
  <c r="F54" i="57" s="1"/>
  <c r="F53" i="57" s="1"/>
  <c r="D55" i="57"/>
  <c r="D54" i="57" s="1"/>
  <c r="D53" i="57" s="1"/>
  <c r="F47" i="57"/>
  <c r="F46" i="57" s="1"/>
  <c r="F45" i="57" s="1"/>
  <c r="D47" i="57"/>
  <c r="D46" i="57"/>
  <c r="D45" i="57" s="1"/>
  <c r="D44" i="57" s="1"/>
  <c r="F41" i="57"/>
  <c r="D41" i="57"/>
  <c r="G40" i="57"/>
  <c r="F38" i="57"/>
  <c r="D38" i="57"/>
  <c r="G35" i="57"/>
  <c r="H35" i="57" s="1"/>
  <c r="F31" i="57"/>
  <c r="D31" i="57"/>
  <c r="D30" i="57" s="1"/>
  <c r="D29" i="57" s="1"/>
  <c r="D14" i="57" s="1"/>
  <c r="F13" i="57"/>
  <c r="F13" i="58" s="1"/>
  <c r="F16" i="57"/>
  <c r="D16" i="57"/>
  <c r="D13" i="57"/>
  <c r="G265" i="52"/>
  <c r="H370" i="57" l="1"/>
  <c r="F159" i="57"/>
  <c r="G122" i="57"/>
  <c r="G121" i="57" s="1"/>
  <c r="H121" i="57" s="1"/>
  <c r="F417" i="57"/>
  <c r="F29" i="58"/>
  <c r="F28" i="58" s="1"/>
  <c r="F235" i="57"/>
  <c r="F30" i="57"/>
  <c r="F29" i="57" s="1"/>
  <c r="F64" i="57"/>
  <c r="F17" i="58"/>
  <c r="F365" i="57"/>
  <c r="F26" i="58" s="1"/>
  <c r="F297" i="57"/>
  <c r="F295" i="57" s="1"/>
  <c r="F25" i="58" s="1"/>
  <c r="G192" i="57"/>
  <c r="G168" i="57" s="1"/>
  <c r="G167" i="57" s="1"/>
  <c r="G166" i="57" s="1"/>
  <c r="F167" i="57"/>
  <c r="F166" i="57" s="1"/>
  <c r="F44" i="57"/>
  <c r="D20" i="58"/>
  <c r="G369" i="57"/>
  <c r="H369" i="57" s="1"/>
  <c r="H379" i="57"/>
  <c r="H392" i="57"/>
  <c r="H325" i="57"/>
  <c r="H32" i="58"/>
  <c r="G31" i="58"/>
  <c r="H31" i="58" s="1"/>
  <c r="H37" i="58"/>
  <c r="H382" i="57"/>
  <c r="F69" i="57"/>
  <c r="H113" i="57"/>
  <c r="G112" i="57"/>
  <c r="D108" i="57"/>
  <c r="F60" i="57"/>
  <c r="F59" i="57" s="1"/>
  <c r="G305" i="57"/>
  <c r="D443" i="57"/>
  <c r="D442" i="57" s="1"/>
  <c r="D441" i="57" s="1"/>
  <c r="H458" i="57"/>
  <c r="G104" i="57"/>
  <c r="H444" i="57"/>
  <c r="G443" i="57"/>
  <c r="G87" i="57"/>
  <c r="E112" i="57"/>
  <c r="E110" i="57" s="1"/>
  <c r="H132" i="57"/>
  <c r="H265" i="57"/>
  <c r="D297" i="57"/>
  <c r="D295" i="57" s="1"/>
  <c r="H399" i="57"/>
  <c r="G398" i="57"/>
  <c r="H398" i="57" s="1"/>
  <c r="D234" i="57"/>
  <c r="D233" i="57" s="1"/>
  <c r="D232" i="57" s="1"/>
  <c r="G277" i="57"/>
  <c r="E276" i="57"/>
  <c r="H289" i="57"/>
  <c r="G288" i="57"/>
  <c r="H288" i="57" s="1"/>
  <c r="E130" i="57"/>
  <c r="G134" i="57"/>
  <c r="H134" i="57" s="1"/>
  <c r="H273" i="57"/>
  <c r="F237" i="57"/>
  <c r="F23" i="58" s="1"/>
  <c r="H248" i="57"/>
  <c r="G247" i="57"/>
  <c r="H247" i="57" s="1"/>
  <c r="G290" i="57"/>
  <c r="H290" i="57" s="1"/>
  <c r="G345" i="57"/>
  <c r="H345" i="57" s="1"/>
  <c r="H346" i="57"/>
  <c r="H402" i="57"/>
  <c r="G401" i="57"/>
  <c r="H401" i="57" s="1"/>
  <c r="H261" i="57"/>
  <c r="H269" i="57"/>
  <c r="G268" i="57"/>
  <c r="H319" i="57"/>
  <c r="F327" i="57"/>
  <c r="G384" i="57"/>
  <c r="H384" i="57" s="1"/>
  <c r="H405" i="57"/>
  <c r="G404" i="57"/>
  <c r="H404" i="57" s="1"/>
  <c r="H411" i="57"/>
  <c r="G410" i="57"/>
  <c r="H410" i="57" s="1"/>
  <c r="H322" i="57"/>
  <c r="G321" i="57"/>
  <c r="H321" i="57" s="1"/>
  <c r="G331" i="57"/>
  <c r="H331" i="57" s="1"/>
  <c r="E328" i="57"/>
  <c r="E327" i="57" s="1"/>
  <c r="G351" i="57"/>
  <c r="F350" i="57"/>
  <c r="G350" i="57" s="1"/>
  <c r="H396" i="57"/>
  <c r="G395" i="57"/>
  <c r="H395" i="57" s="1"/>
  <c r="H408" i="57"/>
  <c r="G407" i="57"/>
  <c r="H407" i="57" s="1"/>
  <c r="H436" i="57"/>
  <c r="E247" i="57"/>
  <c r="G315" i="57"/>
  <c r="H315" i="57" s="1"/>
  <c r="G317" i="57"/>
  <c r="H317" i="57" s="1"/>
  <c r="H330" i="57"/>
  <c r="D12" i="57" l="1"/>
  <c r="D19" i="58"/>
  <c r="H122" i="57"/>
  <c r="F108" i="57"/>
  <c r="F19" i="58" s="1"/>
  <c r="H268" i="57"/>
  <c r="F63" i="57"/>
  <c r="F16" i="58"/>
  <c r="F22" i="58"/>
  <c r="F21" i="58" s="1"/>
  <c r="F20" i="58" s="1"/>
  <c r="D11" i="57"/>
  <c r="D461" i="57" s="1"/>
  <c r="F58" i="57"/>
  <c r="F14" i="57" s="1"/>
  <c r="H112" i="57"/>
  <c r="G110" i="57"/>
  <c r="H435" i="57"/>
  <c r="H443" i="57"/>
  <c r="G442" i="57"/>
  <c r="H104" i="57"/>
  <c r="G103" i="57"/>
  <c r="F234" i="57"/>
  <c r="F233" i="57" s="1"/>
  <c r="F232" i="57" s="1"/>
  <c r="H305" i="57"/>
  <c r="H204" i="57"/>
  <c r="G328" i="57"/>
  <c r="H277" i="57"/>
  <c r="G276" i="57"/>
  <c r="H276" i="57" s="1"/>
  <c r="H87" i="57"/>
  <c r="G86" i="57"/>
  <c r="F12" i="57" l="1"/>
  <c r="F11" i="57" s="1"/>
  <c r="F461" i="57" s="1"/>
  <c r="F14" i="58"/>
  <c r="F12" i="58" s="1"/>
  <c r="F11" i="58" s="1"/>
  <c r="H131" i="57"/>
  <c r="G130" i="57"/>
  <c r="H86" i="57"/>
  <c r="G85" i="57"/>
  <c r="H85" i="57" s="1"/>
  <c r="H103" i="57"/>
  <c r="G102" i="57"/>
  <c r="H102" i="57" s="1"/>
  <c r="H442" i="57"/>
  <c r="G441" i="57"/>
  <c r="H441" i="57" s="1"/>
  <c r="H328" i="57"/>
  <c r="G327" i="57"/>
  <c r="H327" i="57" s="1"/>
  <c r="H110" i="57"/>
  <c r="F36" i="58" l="1"/>
  <c r="F42" i="58" s="1"/>
  <c r="H42" i="58" s="1"/>
  <c r="H130" i="57"/>
  <c r="F301" i="54" l="1"/>
  <c r="F22" i="52" l="1"/>
  <c r="L213" i="54" l="1"/>
  <c r="F27" i="55" l="1"/>
  <c r="F24" i="55"/>
  <c r="F18" i="55"/>
  <c r="D29" i="54"/>
  <c r="D30" i="54"/>
  <c r="E30" i="55" l="1"/>
  <c r="E27" i="55"/>
  <c r="E24" i="55"/>
  <c r="E18" i="55"/>
  <c r="E280" i="54"/>
  <c r="D29" i="52"/>
  <c r="D30" i="52"/>
  <c r="F17" i="48"/>
  <c r="F29" i="49"/>
  <c r="F30" i="49"/>
  <c r="D29" i="49"/>
  <c r="D30" i="49"/>
  <c r="D31" i="49"/>
  <c r="G17" i="47"/>
  <c r="D30" i="46"/>
  <c r="F17" i="45"/>
  <c r="E29" i="46"/>
  <c r="G29" i="46"/>
  <c r="E30" i="46"/>
  <c r="G30" i="46"/>
  <c r="D29" i="46"/>
  <c r="F41" i="44" l="1"/>
  <c r="F40" i="44"/>
  <c r="F30" i="38"/>
  <c r="F30" i="34"/>
  <c r="F30" i="33"/>
  <c r="E438" i="54"/>
  <c r="E436" i="54"/>
  <c r="E421" i="54"/>
  <c r="E423" i="54"/>
  <c r="E425" i="54"/>
  <c r="E427" i="54"/>
  <c r="E428" i="54"/>
  <c r="E429" i="54"/>
  <c r="E412" i="54"/>
  <c r="E408" i="54"/>
  <c r="E405" i="54"/>
  <c r="E402" i="54"/>
  <c r="E386" i="54"/>
  <c r="E387" i="54"/>
  <c r="E388" i="54"/>
  <c r="E389" i="54"/>
  <c r="E390" i="54"/>
  <c r="E385" i="54"/>
  <c r="E382" i="54"/>
  <c r="E379" i="54"/>
  <c r="E325" i="54"/>
  <c r="E318" i="54"/>
  <c r="E316" i="54"/>
  <c r="E312" i="54"/>
  <c r="E306" i="54"/>
  <c r="E307" i="54"/>
  <c r="E309" i="54"/>
  <c r="E305" i="54"/>
  <c r="E300" i="54"/>
  <c r="E301" i="54"/>
  <c r="E302" i="54"/>
  <c r="E303" i="54"/>
  <c r="E299" i="54"/>
  <c r="E293" i="54"/>
  <c r="E288" i="54"/>
  <c r="E289" i="54"/>
  <c r="E283" i="54"/>
  <c r="E281" i="54"/>
  <c r="E276" i="54"/>
  <c r="E278" i="54"/>
  <c r="E277" i="54"/>
  <c r="E274" i="54"/>
  <c r="E273" i="54"/>
  <c r="E270" i="54"/>
  <c r="E269" i="54"/>
  <c r="E265" i="54"/>
  <c r="E261" i="54"/>
  <c r="E258" i="54"/>
  <c r="E249" i="54"/>
  <c r="E250" i="54"/>
  <c r="E251" i="54"/>
  <c r="E252" i="54"/>
  <c r="E253" i="54"/>
  <c r="E254" i="54"/>
  <c r="E255" i="54"/>
  <c r="E256" i="54"/>
  <c r="E248" i="54"/>
  <c r="E241" i="54"/>
  <c r="E245" i="54"/>
  <c r="E238" i="54"/>
  <c r="E211" i="54"/>
  <c r="E204" i="54"/>
  <c r="E194" i="54"/>
  <c r="E193" i="54"/>
  <c r="E147" i="54"/>
  <c r="E148" i="54"/>
  <c r="E149" i="54"/>
  <c r="E150" i="54"/>
  <c r="E151" i="54"/>
  <c r="E152" i="54"/>
  <c r="E153" i="54"/>
  <c r="E154" i="54"/>
  <c r="E133" i="54"/>
  <c r="E134" i="54"/>
  <c r="E135" i="54"/>
  <c r="E136" i="54"/>
  <c r="E132" i="54"/>
  <c r="E123" i="54"/>
  <c r="E113" i="54"/>
  <c r="E105" i="54"/>
  <c r="E106" i="54"/>
  <c r="E104" i="54"/>
  <c r="E19" i="54" l="1"/>
  <c r="E20" i="54"/>
  <c r="E23" i="54"/>
  <c r="E24" i="54"/>
  <c r="E25" i="54"/>
  <c r="E26" i="54"/>
  <c r="F21" i="52" l="1"/>
  <c r="F237" i="52" l="1"/>
  <c r="F242" i="52"/>
  <c r="F236" i="52" l="1"/>
  <c r="F315" i="44"/>
  <c r="F273" i="52" l="1"/>
  <c r="F269" i="52"/>
  <c r="F246" i="52"/>
  <c r="F244" i="52"/>
  <c r="F240" i="52"/>
  <c r="F239" i="52"/>
  <c r="F118" i="54" l="1"/>
  <c r="F125" i="54"/>
  <c r="F130" i="54"/>
  <c r="E130" i="54"/>
  <c r="G27" i="55"/>
  <c r="F41" i="55"/>
  <c r="F40" i="55"/>
  <c r="F39" i="55"/>
  <c r="H39" i="55" s="1"/>
  <c r="H38" i="55"/>
  <c r="F38" i="55"/>
  <c r="F37" i="55"/>
  <c r="F35" i="55"/>
  <c r="G35" i="55" s="1"/>
  <c r="H35" i="55" s="1"/>
  <c r="E35" i="55"/>
  <c r="F34" i="55"/>
  <c r="G34" i="55" s="1"/>
  <c r="H34" i="55" s="1"/>
  <c r="E34" i="55"/>
  <c r="F33" i="55"/>
  <c r="F32" i="55" s="1"/>
  <c r="D33" i="55"/>
  <c r="D32" i="55"/>
  <c r="D31" i="55" s="1"/>
  <c r="E31" i="55"/>
  <c r="D28" i="55"/>
  <c r="D22" i="55"/>
  <c r="D21" i="55" s="1"/>
  <c r="G24" i="55"/>
  <c r="D19" i="55"/>
  <c r="G18" i="55"/>
  <c r="D17" i="55"/>
  <c r="D16" i="55"/>
  <c r="D13" i="55"/>
  <c r="F288" i="54"/>
  <c r="G258" i="54"/>
  <c r="F176" i="54"/>
  <c r="F182" i="54"/>
  <c r="F195" i="54"/>
  <c r="F198" i="54"/>
  <c r="F77" i="54"/>
  <c r="F76" i="54" s="1"/>
  <c r="F74" i="54"/>
  <c r="F72" i="54"/>
  <c r="F70" i="54"/>
  <c r="F67" i="54"/>
  <c r="F470" i="54"/>
  <c r="I470" i="54" s="1"/>
  <c r="D470" i="54"/>
  <c r="F469" i="54"/>
  <c r="D469" i="54"/>
  <c r="F468" i="54"/>
  <c r="D468" i="54"/>
  <c r="F467" i="54"/>
  <c r="D467" i="54"/>
  <c r="F466" i="54"/>
  <c r="D466" i="54"/>
  <c r="I465" i="54"/>
  <c r="F465" i="54"/>
  <c r="D465" i="54"/>
  <c r="I464" i="54"/>
  <c r="F464" i="54"/>
  <c r="D464" i="54"/>
  <c r="F463" i="54"/>
  <c r="I463" i="54" s="1"/>
  <c r="D463" i="54"/>
  <c r="I462" i="54"/>
  <c r="H459" i="54"/>
  <c r="H458" i="54"/>
  <c r="G458" i="54"/>
  <c r="F458" i="54"/>
  <c r="D458" i="54"/>
  <c r="D443" i="54" s="1"/>
  <c r="D442" i="54" s="1"/>
  <c r="D441" i="54" s="1"/>
  <c r="H453" i="54"/>
  <c r="H448" i="54"/>
  <c r="H447" i="54"/>
  <c r="H446" i="54"/>
  <c r="H445" i="54"/>
  <c r="G445" i="54"/>
  <c r="G444" i="54"/>
  <c r="H444" i="54" s="1"/>
  <c r="F444" i="54"/>
  <c r="F443" i="54" s="1"/>
  <c r="D444" i="54"/>
  <c r="G443" i="54"/>
  <c r="F442" i="54"/>
  <c r="F441" i="54" s="1"/>
  <c r="G440" i="54"/>
  <c r="H440" i="54" s="1"/>
  <c r="H439" i="54"/>
  <c r="G439" i="54"/>
  <c r="G438" i="54"/>
  <c r="D438" i="54"/>
  <c r="G437" i="54"/>
  <c r="D434" i="54"/>
  <c r="G433" i="54"/>
  <c r="F432" i="54"/>
  <c r="D432" i="54"/>
  <c r="G429" i="54"/>
  <c r="H429" i="54" s="1"/>
  <c r="G428" i="54"/>
  <c r="G427" i="54"/>
  <c r="G425" i="54"/>
  <c r="G423" i="54"/>
  <c r="G421" i="54"/>
  <c r="D419" i="54"/>
  <c r="D418" i="54" s="1"/>
  <c r="G415" i="54"/>
  <c r="G414" i="54"/>
  <c r="G413" i="54"/>
  <c r="G412" i="54"/>
  <c r="F411" i="54"/>
  <c r="F410" i="54" s="1"/>
  <c r="E411" i="54"/>
  <c r="E410" i="54" s="1"/>
  <c r="D411" i="54"/>
  <c r="D410" i="54" s="1"/>
  <c r="G408" i="54"/>
  <c r="H408" i="54" s="1"/>
  <c r="F407" i="54"/>
  <c r="E407" i="54"/>
  <c r="D407" i="54"/>
  <c r="G405" i="54"/>
  <c r="H405" i="54" s="1"/>
  <c r="G404" i="54"/>
  <c r="H404" i="54" s="1"/>
  <c r="F404" i="54"/>
  <c r="E404" i="54"/>
  <c r="D404" i="54"/>
  <c r="F401" i="54"/>
  <c r="D401" i="54"/>
  <c r="F398" i="54"/>
  <c r="D398" i="54"/>
  <c r="D365" i="54" s="1"/>
  <c r="F395" i="54"/>
  <c r="D395" i="54"/>
  <c r="F392" i="54"/>
  <c r="D392" i="54"/>
  <c r="G391" i="54"/>
  <c r="G390" i="54"/>
  <c r="H390" i="54" s="1"/>
  <c r="G385" i="54"/>
  <c r="F384" i="54"/>
  <c r="D384" i="54"/>
  <c r="G382" i="54"/>
  <c r="G381" i="54" s="1"/>
  <c r="H381" i="54" s="1"/>
  <c r="F381" i="54"/>
  <c r="E381" i="54"/>
  <c r="D381" i="54"/>
  <c r="G379" i="54"/>
  <c r="F378" i="54"/>
  <c r="E378" i="54"/>
  <c r="D378" i="54"/>
  <c r="F375" i="54"/>
  <c r="D375" i="54"/>
  <c r="F372" i="54"/>
  <c r="D372" i="54"/>
  <c r="F369" i="54"/>
  <c r="D369" i="54"/>
  <c r="F366" i="54"/>
  <c r="D366" i="54"/>
  <c r="G363" i="54"/>
  <c r="F362" i="54"/>
  <c r="D362" i="54"/>
  <c r="G362" i="54" s="1"/>
  <c r="G361" i="54"/>
  <c r="F360" i="54"/>
  <c r="D360" i="54"/>
  <c r="G360" i="54" s="1"/>
  <c r="G359" i="54"/>
  <c r="F358" i="54"/>
  <c r="D358" i="54"/>
  <c r="G358" i="54" s="1"/>
  <c r="G357" i="54"/>
  <c r="G356" i="54"/>
  <c r="F355" i="54"/>
  <c r="G355" i="54" s="1"/>
  <c r="D355" i="54"/>
  <c r="G354" i="54"/>
  <c r="F353" i="54"/>
  <c r="G353" i="54" s="1"/>
  <c r="D353" i="54"/>
  <c r="G352" i="54"/>
  <c r="F351" i="54"/>
  <c r="D351" i="54"/>
  <c r="D350" i="54" s="1"/>
  <c r="H348" i="54"/>
  <c r="G348" i="54"/>
  <c r="G347" i="54"/>
  <c r="H347" i="54" s="1"/>
  <c r="F347" i="54"/>
  <c r="D347" i="54"/>
  <c r="G346" i="54"/>
  <c r="F345" i="54"/>
  <c r="E345" i="54"/>
  <c r="D345" i="54"/>
  <c r="H344" i="54"/>
  <c r="G344" i="54"/>
  <c r="H343" i="54"/>
  <c r="G343" i="54"/>
  <c r="F343" i="54"/>
  <c r="D343" i="54"/>
  <c r="H342" i="54"/>
  <c r="G342" i="54"/>
  <c r="G341" i="54" s="1"/>
  <c r="F341" i="54"/>
  <c r="D341" i="54"/>
  <c r="H340" i="54"/>
  <c r="G340" i="54"/>
  <c r="G339" i="54"/>
  <c r="H339" i="54" s="1"/>
  <c r="F339" i="54"/>
  <c r="D339" i="54"/>
  <c r="G338" i="54"/>
  <c r="F337" i="54"/>
  <c r="D337" i="54"/>
  <c r="E335" i="54"/>
  <c r="G335" i="54" s="1"/>
  <c r="H335" i="54" s="1"/>
  <c r="E334" i="54"/>
  <c r="G334" i="54" s="1"/>
  <c r="H334" i="54" s="1"/>
  <c r="G333" i="54"/>
  <c r="H333" i="54" s="1"/>
  <c r="E333" i="54"/>
  <c r="E332" i="54"/>
  <c r="E331" i="54"/>
  <c r="G331" i="54" s="1"/>
  <c r="H331" i="54" s="1"/>
  <c r="E330" i="54"/>
  <c r="G330" i="54" s="1"/>
  <c r="H330" i="54" s="1"/>
  <c r="G329" i="54"/>
  <c r="H329" i="54" s="1"/>
  <c r="F328" i="54"/>
  <c r="F327" i="54" s="1"/>
  <c r="D328" i="54"/>
  <c r="E324" i="54"/>
  <c r="F324" i="54"/>
  <c r="D324" i="54"/>
  <c r="E323" i="54"/>
  <c r="G323" i="54" s="1"/>
  <c r="H323" i="54" s="1"/>
  <c r="E322" i="54"/>
  <c r="E321" i="54" s="1"/>
  <c r="F321" i="54"/>
  <c r="D321" i="54"/>
  <c r="G320" i="54"/>
  <c r="H320" i="54" s="1"/>
  <c r="G319" i="54"/>
  <c r="H319" i="54" s="1"/>
  <c r="F319" i="54"/>
  <c r="D319" i="54"/>
  <c r="G318" i="54"/>
  <c r="H318" i="54" s="1"/>
  <c r="F317" i="54"/>
  <c r="E317" i="54"/>
  <c r="D317" i="54"/>
  <c r="G316" i="54"/>
  <c r="H316" i="54" s="1"/>
  <c r="F315" i="54"/>
  <c r="E315" i="54"/>
  <c r="D315" i="54"/>
  <c r="G314" i="54"/>
  <c r="H314" i="54" s="1"/>
  <c r="E314" i="54"/>
  <c r="E313" i="54"/>
  <c r="G313" i="54" s="1"/>
  <c r="H313" i="54" s="1"/>
  <c r="D313" i="54"/>
  <c r="G312" i="54"/>
  <c r="H312" i="54" s="1"/>
  <c r="E311" i="54"/>
  <c r="G311" i="54" s="1"/>
  <c r="H311" i="54" s="1"/>
  <c r="D311" i="54"/>
  <c r="G309" i="54"/>
  <c r="H309" i="54" s="1"/>
  <c r="G307" i="54"/>
  <c r="E307" i="57" s="1"/>
  <c r="G307" i="57" s="1"/>
  <c r="H307" i="57" s="1"/>
  <c r="F304" i="54"/>
  <c r="D304" i="54"/>
  <c r="G303" i="54"/>
  <c r="H303" i="54" s="1"/>
  <c r="G302" i="54"/>
  <c r="H302" i="54" s="1"/>
  <c r="G301" i="54"/>
  <c r="H301" i="54" s="1"/>
  <c r="G300" i="54"/>
  <c r="H300" i="54" s="1"/>
  <c r="G299" i="54"/>
  <c r="E299" i="57" s="1"/>
  <c r="F298" i="54"/>
  <c r="E298" i="54"/>
  <c r="D298" i="54"/>
  <c r="D297" i="54"/>
  <c r="G293" i="54"/>
  <c r="F290" i="54"/>
  <c r="G289" i="54"/>
  <c r="H289" i="54" s="1"/>
  <c r="E287" i="54"/>
  <c r="G286" i="54"/>
  <c r="G285" i="54" s="1"/>
  <c r="E286" i="54"/>
  <c r="F285" i="54"/>
  <c r="E285" i="54"/>
  <c r="F282" i="54"/>
  <c r="G281" i="54"/>
  <c r="F280" i="54"/>
  <c r="G279" i="54"/>
  <c r="G277" i="54"/>
  <c r="F276" i="54"/>
  <c r="G273" i="54"/>
  <c r="F272" i="54"/>
  <c r="E272" i="54"/>
  <c r="G269" i="54"/>
  <c r="F268" i="54"/>
  <c r="G261" i="54"/>
  <c r="H261" i="54" s="1"/>
  <c r="F260" i="54"/>
  <c r="G254" i="54"/>
  <c r="H254" i="54" s="1"/>
  <c r="G253" i="54"/>
  <c r="H253" i="54" s="1"/>
  <c r="G252" i="54"/>
  <c r="H252" i="54" s="1"/>
  <c r="G251" i="54"/>
  <c r="H251" i="54" s="1"/>
  <c r="G250" i="54"/>
  <c r="H250" i="54" s="1"/>
  <c r="G249" i="54"/>
  <c r="H249" i="54" s="1"/>
  <c r="F247" i="54"/>
  <c r="D247" i="54"/>
  <c r="G245" i="54"/>
  <c r="F237" i="54"/>
  <c r="F23" i="55" s="1"/>
  <c r="G241" i="54"/>
  <c r="G238" i="54"/>
  <c r="E238" i="57" s="1"/>
  <c r="G238" i="57" s="1"/>
  <c r="D237" i="54"/>
  <c r="E229" i="54"/>
  <c r="G229" i="54" s="1"/>
  <c r="H229" i="54" s="1"/>
  <c r="E228" i="54"/>
  <c r="G228" i="54" s="1"/>
  <c r="F227" i="54"/>
  <c r="F226" i="54" s="1"/>
  <c r="D227" i="54"/>
  <c r="D226" i="54" s="1"/>
  <c r="F223" i="54"/>
  <c r="F222" i="54" s="1"/>
  <c r="F221" i="54" s="1"/>
  <c r="F220" i="54" s="1"/>
  <c r="D223" i="54"/>
  <c r="D222" i="54"/>
  <c r="D221" i="54" s="1"/>
  <c r="D220" i="54"/>
  <c r="G211" i="54"/>
  <c r="F208" i="54"/>
  <c r="F207" i="54" s="1"/>
  <c r="F206" i="54" s="1"/>
  <c r="D208" i="54"/>
  <c r="D207" i="54"/>
  <c r="D206" i="54"/>
  <c r="E205" i="54"/>
  <c r="F202" i="54"/>
  <c r="D202" i="54"/>
  <c r="D198" i="54"/>
  <c r="D195" i="54"/>
  <c r="F189" i="54"/>
  <c r="D189" i="54"/>
  <c r="F185" i="54"/>
  <c r="D185" i="54"/>
  <c r="D182" i="54"/>
  <c r="D176" i="54"/>
  <c r="F169" i="54"/>
  <c r="D169" i="54"/>
  <c r="F163" i="54"/>
  <c r="D163" i="54"/>
  <c r="F160" i="54"/>
  <c r="F159" i="54" s="1"/>
  <c r="D160" i="54"/>
  <c r="D159" i="54"/>
  <c r="H157" i="54"/>
  <c r="E157" i="54"/>
  <c r="G155" i="54"/>
  <c r="H155" i="54" s="1"/>
  <c r="E155" i="54"/>
  <c r="G154" i="54"/>
  <c r="G153" i="54"/>
  <c r="G152" i="54"/>
  <c r="H152" i="54" s="1"/>
  <c r="G151" i="54"/>
  <c r="H151" i="54" s="1"/>
  <c r="G150" i="54"/>
  <c r="G149" i="54"/>
  <c r="H149" i="54" s="1"/>
  <c r="G148" i="54"/>
  <c r="H148" i="54" s="1"/>
  <c r="G147" i="54"/>
  <c r="H147" i="54" s="1"/>
  <c r="F144" i="54"/>
  <c r="D144" i="54"/>
  <c r="E142" i="54"/>
  <c r="G142" i="54" s="1"/>
  <c r="F139" i="54"/>
  <c r="F138" i="54" s="1"/>
  <c r="D139" i="54"/>
  <c r="D138" i="54" s="1"/>
  <c r="G136" i="54"/>
  <c r="G135" i="54"/>
  <c r="H135" i="54" s="1"/>
  <c r="G134" i="54"/>
  <c r="H134" i="54" s="1"/>
  <c r="G133" i="54"/>
  <c r="H133" i="54" s="1"/>
  <c r="G132" i="54"/>
  <c r="D131" i="54"/>
  <c r="D130" i="54" s="1"/>
  <c r="D129" i="54" s="1"/>
  <c r="D125" i="54"/>
  <c r="F122" i="54"/>
  <c r="F121" i="54" s="1"/>
  <c r="D122" i="54"/>
  <c r="D121" i="54"/>
  <c r="E120" i="54"/>
  <c r="D118" i="54"/>
  <c r="F115" i="54"/>
  <c r="F110" i="54" s="1"/>
  <c r="D115" i="54"/>
  <c r="F112" i="54"/>
  <c r="D112" i="54"/>
  <c r="G104" i="54"/>
  <c r="H104" i="54" s="1"/>
  <c r="F103" i="54"/>
  <c r="D103" i="54"/>
  <c r="F102" i="54"/>
  <c r="D102" i="54"/>
  <c r="F99" i="54"/>
  <c r="F98" i="54" s="1"/>
  <c r="F97" i="54" s="1"/>
  <c r="D99" i="54"/>
  <c r="D98" i="54"/>
  <c r="D97" i="54" s="1"/>
  <c r="F94" i="54"/>
  <c r="D94" i="54"/>
  <c r="F93" i="54"/>
  <c r="F92" i="54" s="1"/>
  <c r="D93" i="54"/>
  <c r="D92" i="54" s="1"/>
  <c r="G90" i="54"/>
  <c r="H90" i="54" s="1"/>
  <c r="E90" i="54"/>
  <c r="F89" i="54"/>
  <c r="D89" i="54"/>
  <c r="D86" i="54" s="1"/>
  <c r="D85" i="54" s="1"/>
  <c r="E88" i="54"/>
  <c r="G88" i="54" s="1"/>
  <c r="F87" i="54"/>
  <c r="D87" i="54"/>
  <c r="F86" i="54"/>
  <c r="F85" i="54" s="1"/>
  <c r="F82" i="54"/>
  <c r="F81" i="54" s="1"/>
  <c r="F80" i="54" s="1"/>
  <c r="D82" i="54"/>
  <c r="D81" i="54"/>
  <c r="D80" i="54" s="1"/>
  <c r="D77" i="54"/>
  <c r="D76" i="54"/>
  <c r="D74" i="54"/>
  <c r="D72" i="54"/>
  <c r="D70" i="54"/>
  <c r="D69" i="54"/>
  <c r="D67" i="54"/>
  <c r="F65" i="54"/>
  <c r="D65" i="54"/>
  <c r="D64" i="54"/>
  <c r="D63" i="54"/>
  <c r="F60" i="54"/>
  <c r="F59" i="54" s="1"/>
  <c r="F58" i="54" s="1"/>
  <c r="D60" i="54"/>
  <c r="D59" i="54"/>
  <c r="D58" i="54"/>
  <c r="F55" i="54"/>
  <c r="F54" i="54" s="1"/>
  <c r="F53" i="54" s="1"/>
  <c r="D55" i="54"/>
  <c r="D54" i="54"/>
  <c r="D53" i="54" s="1"/>
  <c r="F47" i="54"/>
  <c r="F46" i="54" s="1"/>
  <c r="F45" i="54" s="1"/>
  <c r="D47" i="54"/>
  <c r="D46" i="54" s="1"/>
  <c r="D45" i="54" s="1"/>
  <c r="D44" i="54" s="1"/>
  <c r="F41" i="54"/>
  <c r="D41" i="54"/>
  <c r="D14" i="54" s="1"/>
  <c r="G40" i="54"/>
  <c r="D38" i="54"/>
  <c r="G35" i="54"/>
  <c r="H35" i="54" s="1"/>
  <c r="D31" i="54"/>
  <c r="G26" i="54"/>
  <c r="G25" i="54"/>
  <c r="H25" i="54" s="1"/>
  <c r="G24" i="54"/>
  <c r="G23" i="54"/>
  <c r="G20" i="54"/>
  <c r="G19" i="54"/>
  <c r="D16" i="54"/>
  <c r="F13" i="54"/>
  <c r="F13" i="55" s="1"/>
  <c r="D13" i="54"/>
  <c r="H27" i="55" l="1"/>
  <c r="G27" i="58"/>
  <c r="H27" i="58" s="1"/>
  <c r="G18" i="58"/>
  <c r="H307" i="54"/>
  <c r="H150" i="54"/>
  <c r="G150" i="57"/>
  <c r="H150" i="57" s="1"/>
  <c r="D20" i="55"/>
  <c r="F29" i="55"/>
  <c r="F417" i="54"/>
  <c r="H438" i="54"/>
  <c r="E438" i="57"/>
  <c r="G438" i="57" s="1"/>
  <c r="H438" i="57" s="1"/>
  <c r="H437" i="54"/>
  <c r="E437" i="57"/>
  <c r="H428" i="54"/>
  <c r="E428" i="57"/>
  <c r="G428" i="57" s="1"/>
  <c r="H428" i="57" s="1"/>
  <c r="H427" i="54"/>
  <c r="E427" i="57"/>
  <c r="G427" i="57" s="1"/>
  <c r="H427" i="57" s="1"/>
  <c r="H425" i="54"/>
  <c r="E425" i="57"/>
  <c r="G425" i="57" s="1"/>
  <c r="H425" i="57" s="1"/>
  <c r="H423" i="54"/>
  <c r="E423" i="57"/>
  <c r="G423" i="57" s="1"/>
  <c r="H423" i="57" s="1"/>
  <c r="H421" i="54"/>
  <c r="E421" i="57"/>
  <c r="F108" i="54"/>
  <c r="F64" i="54"/>
  <c r="F167" i="54"/>
  <c r="F166" i="54" s="1"/>
  <c r="H154" i="54"/>
  <c r="G154" i="57"/>
  <c r="H154" i="57" s="1"/>
  <c r="H24" i="54"/>
  <c r="G24" i="57"/>
  <c r="H24" i="57" s="1"/>
  <c r="H211" i="54"/>
  <c r="E211" i="57"/>
  <c r="H293" i="54"/>
  <c r="E293" i="57"/>
  <c r="G293" i="57" s="1"/>
  <c r="H293" i="57" s="1"/>
  <c r="H24" i="55"/>
  <c r="G24" i="58"/>
  <c r="H24" i="58" s="1"/>
  <c r="G280" i="54"/>
  <c r="H280" i="54" s="1"/>
  <c r="E281" i="57"/>
  <c r="G299" i="57"/>
  <c r="E298" i="57"/>
  <c r="H19" i="54"/>
  <c r="G19" i="57"/>
  <c r="H19" i="57" s="1"/>
  <c r="H26" i="54"/>
  <c r="G26" i="57"/>
  <c r="H26" i="57" s="1"/>
  <c r="H23" i="54"/>
  <c r="G23" i="57"/>
  <c r="H23" i="57" s="1"/>
  <c r="H20" i="54"/>
  <c r="G20" i="57"/>
  <c r="H20" i="57" s="1"/>
  <c r="F69" i="54"/>
  <c r="F297" i="54"/>
  <c r="F295" i="54" s="1"/>
  <c r="F25" i="55" s="1"/>
  <c r="F44" i="54"/>
  <c r="G130" i="54"/>
  <c r="G322" i="54"/>
  <c r="E328" i="54"/>
  <c r="G89" i="54"/>
  <c r="H89" i="54" s="1"/>
  <c r="F38" i="54"/>
  <c r="F17" i="55" s="1"/>
  <c r="F31" i="55"/>
  <c r="G32" i="55"/>
  <c r="G33" i="55"/>
  <c r="H33" i="55" s="1"/>
  <c r="H37" i="55"/>
  <c r="G407" i="54"/>
  <c r="H407" i="54" s="1"/>
  <c r="H382" i="54"/>
  <c r="H281" i="54"/>
  <c r="H132" i="54"/>
  <c r="H228" i="54"/>
  <c r="G227" i="54"/>
  <c r="H88" i="54"/>
  <c r="G87" i="54"/>
  <c r="H273" i="54"/>
  <c r="G272" i="54"/>
  <c r="H272" i="54" s="1"/>
  <c r="H385" i="54"/>
  <c r="F16" i="54"/>
  <c r="G113" i="54"/>
  <c r="E112" i="54"/>
  <c r="G265" i="54"/>
  <c r="G288" i="54"/>
  <c r="H288" i="54" s="1"/>
  <c r="G436" i="54"/>
  <c r="E431" i="54"/>
  <c r="F31" i="54"/>
  <c r="F30" i="54" s="1"/>
  <c r="H269" i="54"/>
  <c r="G325" i="54"/>
  <c r="H443" i="54"/>
  <c r="G442" i="54"/>
  <c r="D12" i="54"/>
  <c r="G351" i="54"/>
  <c r="F350" i="54"/>
  <c r="G350" i="54" s="1"/>
  <c r="H379" i="54"/>
  <c r="G378" i="54"/>
  <c r="H378" i="54" s="1"/>
  <c r="G432" i="54"/>
  <c r="F431" i="54"/>
  <c r="G248" i="54"/>
  <c r="H299" i="54"/>
  <c r="G298" i="54"/>
  <c r="D327" i="54"/>
  <c r="D295" i="54" s="1"/>
  <c r="H341" i="54"/>
  <c r="H346" i="54"/>
  <c r="G345" i="54"/>
  <c r="H345" i="54" s="1"/>
  <c r="G411" i="54"/>
  <c r="H412" i="54"/>
  <c r="G315" i="54"/>
  <c r="H315" i="54" s="1"/>
  <c r="G317" i="54"/>
  <c r="H317" i="54" s="1"/>
  <c r="G332" i="54"/>
  <c r="H332" i="54" s="1"/>
  <c r="G337" i="54"/>
  <c r="H337" i="54" s="1"/>
  <c r="H338" i="54"/>
  <c r="F365" i="54"/>
  <c r="F26" i="55" s="1"/>
  <c r="H277" i="54"/>
  <c r="G276" i="54"/>
  <c r="H276" i="54" s="1"/>
  <c r="H322" i="54"/>
  <c r="G321" i="54"/>
  <c r="H321" i="54" s="1"/>
  <c r="G328" i="54"/>
  <c r="E327" i="54"/>
  <c r="G270" i="54"/>
  <c r="H270" i="54" s="1"/>
  <c r="E268" i="54"/>
  <c r="D431" i="54"/>
  <c r="F63" i="54" l="1"/>
  <c r="F19" i="55"/>
  <c r="F30" i="55"/>
  <c r="G437" i="57"/>
  <c r="E435" i="57"/>
  <c r="E434" i="57" s="1"/>
  <c r="E431" i="57" s="1"/>
  <c r="G421" i="57"/>
  <c r="G211" i="57"/>
  <c r="G281" i="57"/>
  <c r="E280" i="57"/>
  <c r="H299" i="57"/>
  <c r="G298" i="57"/>
  <c r="F16" i="55"/>
  <c r="F29" i="54"/>
  <c r="F14" i="54" s="1"/>
  <c r="F12" i="54" s="1"/>
  <c r="F15" i="55"/>
  <c r="F22" i="55"/>
  <c r="F21" i="55" s="1"/>
  <c r="H32" i="55"/>
  <c r="G31" i="55"/>
  <c r="H31" i="55" s="1"/>
  <c r="F234" i="54"/>
  <c r="F233" i="54" s="1"/>
  <c r="F232" i="54" s="1"/>
  <c r="H328" i="54"/>
  <c r="G327" i="54"/>
  <c r="H327" i="54" s="1"/>
  <c r="H298" i="54"/>
  <c r="H248" i="54"/>
  <c r="H442" i="54"/>
  <c r="G441" i="54"/>
  <c r="H441" i="54" s="1"/>
  <c r="G268" i="54"/>
  <c r="H268" i="54" s="1"/>
  <c r="G226" i="54"/>
  <c r="H226" i="54" s="1"/>
  <c r="H227" i="54"/>
  <c r="H131" i="54"/>
  <c r="H411" i="54"/>
  <c r="G410" i="54"/>
  <c r="H410" i="54" s="1"/>
  <c r="H436" i="54"/>
  <c r="H265" i="54"/>
  <c r="H264" i="54"/>
  <c r="D234" i="54"/>
  <c r="D233" i="54" s="1"/>
  <c r="D232" i="54" s="1"/>
  <c r="D11" i="54" s="1"/>
  <c r="D461" i="54" s="1"/>
  <c r="G324" i="54"/>
  <c r="H324" i="54" s="1"/>
  <c r="H325" i="54"/>
  <c r="H113" i="54"/>
  <c r="G112" i="54"/>
  <c r="G86" i="54"/>
  <c r="H87" i="54"/>
  <c r="H437" i="57" l="1"/>
  <c r="G30" i="55"/>
  <c r="F28" i="55"/>
  <c r="H421" i="57"/>
  <c r="H211" i="57"/>
  <c r="H281" i="57"/>
  <c r="G280" i="57"/>
  <c r="F14" i="55"/>
  <c r="F12" i="55" s="1"/>
  <c r="H298" i="57"/>
  <c r="F11" i="54"/>
  <c r="F461" i="54" s="1"/>
  <c r="H130" i="54"/>
  <c r="H112" i="54"/>
  <c r="G85" i="54"/>
  <c r="H85" i="54" s="1"/>
  <c r="H86" i="54"/>
  <c r="H435" i="54"/>
  <c r="H280" i="57" l="1"/>
  <c r="H30" i="55"/>
  <c r="H434" i="57"/>
  <c r="G431" i="57"/>
  <c r="H431" i="57" s="1"/>
  <c r="F20" i="55"/>
  <c r="F11" i="55" s="1"/>
  <c r="H434" i="54"/>
  <c r="G431" i="54"/>
  <c r="H431" i="54" s="1"/>
  <c r="G30" i="58" l="1"/>
  <c r="H30" i="58" s="1"/>
  <c r="F36" i="55"/>
  <c r="F42" i="55" s="1"/>
  <c r="H42" i="55" s="1"/>
  <c r="E171" i="49" l="1"/>
  <c r="E172" i="49"/>
  <c r="E173" i="49"/>
  <c r="E170" i="49"/>
  <c r="F183" i="46"/>
  <c r="F184" i="46"/>
  <c r="F177" i="46"/>
  <c r="F178" i="46"/>
  <c r="F135" i="49" l="1"/>
  <c r="F136" i="49"/>
  <c r="G134" i="46"/>
  <c r="G135" i="46"/>
  <c r="F131" i="44"/>
  <c r="F129" i="40"/>
  <c r="F127" i="36"/>
  <c r="F129" i="36"/>
  <c r="F39" i="52" l="1"/>
  <c r="F34" i="52"/>
  <c r="D202" i="52" l="1"/>
  <c r="D198" i="52"/>
  <c r="D195" i="52"/>
  <c r="D189" i="52"/>
  <c r="D185" i="52"/>
  <c r="D182" i="52"/>
  <c r="D176" i="52"/>
  <c r="D169" i="52"/>
  <c r="D168" i="49"/>
  <c r="E167" i="46"/>
  <c r="E184" i="46"/>
  <c r="E181" i="46"/>
  <c r="E175" i="46"/>
  <c r="E168" i="46"/>
  <c r="E201" i="46"/>
  <c r="E197" i="46"/>
  <c r="E188" i="46"/>
  <c r="F30" i="53" l="1"/>
  <c r="F27" i="53"/>
  <c r="F24" i="53"/>
  <c r="F18" i="53"/>
  <c r="F268" i="52"/>
  <c r="F260" i="52"/>
  <c r="E412" i="52"/>
  <c r="E411" i="52" s="1"/>
  <c r="E410" i="52" s="1"/>
  <c r="F407" i="52"/>
  <c r="F404" i="52"/>
  <c r="F384" i="52"/>
  <c r="F381" i="52"/>
  <c r="F378" i="52"/>
  <c r="F375" i="52"/>
  <c r="F372" i="52"/>
  <c r="F365" i="52" s="1"/>
  <c r="F369" i="52"/>
  <c r="F366" i="52"/>
  <c r="E285" i="52"/>
  <c r="E286" i="52"/>
  <c r="E287" i="52"/>
  <c r="F247" i="52"/>
  <c r="F248" i="52"/>
  <c r="E205" i="52"/>
  <c r="E155" i="52"/>
  <c r="E120" i="52"/>
  <c r="F99" i="52"/>
  <c r="F98" i="52" s="1"/>
  <c r="F97" i="52" s="1"/>
  <c r="F83" i="49" l="1"/>
  <c r="F27" i="48" l="1"/>
  <c r="F268" i="49"/>
  <c r="F260" i="49"/>
  <c r="F21" i="49"/>
  <c r="F99" i="49" l="1"/>
  <c r="F98" i="49" s="1"/>
  <c r="F97" i="49" s="1"/>
  <c r="F41" i="53" l="1"/>
  <c r="F40" i="53"/>
  <c r="F39" i="53"/>
  <c r="H39" i="53" s="1"/>
  <c r="H38" i="53"/>
  <c r="F38" i="53"/>
  <c r="F37" i="53"/>
  <c r="E35" i="53"/>
  <c r="E34" i="53"/>
  <c r="F33" i="53"/>
  <c r="F32" i="53" s="1"/>
  <c r="D33" i="53"/>
  <c r="D32" i="53"/>
  <c r="D31" i="53" s="1"/>
  <c r="E31" i="53"/>
  <c r="D28" i="53"/>
  <c r="F470" i="52"/>
  <c r="I470" i="52" s="1"/>
  <c r="D470" i="52"/>
  <c r="F469" i="52"/>
  <c r="D469" i="52"/>
  <c r="F468" i="52"/>
  <c r="D468" i="52"/>
  <c r="F467" i="52"/>
  <c r="D467" i="52"/>
  <c r="F466" i="52"/>
  <c r="D466" i="52"/>
  <c r="F465" i="52"/>
  <c r="I465" i="52" s="1"/>
  <c r="D465" i="52"/>
  <c r="F464" i="52"/>
  <c r="I464" i="52" s="1"/>
  <c r="D464" i="52"/>
  <c r="F463" i="52"/>
  <c r="I463" i="52" s="1"/>
  <c r="D463" i="52"/>
  <c r="I462" i="52"/>
  <c r="H459" i="52"/>
  <c r="H458" i="52"/>
  <c r="G458" i="52"/>
  <c r="F458" i="52"/>
  <c r="D458" i="52"/>
  <c r="H453" i="52"/>
  <c r="H448" i="52"/>
  <c r="H447" i="52"/>
  <c r="H446" i="52"/>
  <c r="H445" i="52"/>
  <c r="G445" i="52"/>
  <c r="G444" i="52"/>
  <c r="F444" i="52"/>
  <c r="F443" i="52" s="1"/>
  <c r="F442" i="52" s="1"/>
  <c r="F441" i="52" s="1"/>
  <c r="D444" i="52"/>
  <c r="G440" i="52"/>
  <c r="H440" i="52" s="1"/>
  <c r="G439" i="52"/>
  <c r="H439" i="52" s="1"/>
  <c r="F438" i="52"/>
  <c r="D438" i="52"/>
  <c r="G437" i="52"/>
  <c r="H437" i="52" s="1"/>
  <c r="F435" i="52"/>
  <c r="D434" i="52"/>
  <c r="F434" i="52"/>
  <c r="G433" i="52"/>
  <c r="F432" i="52"/>
  <c r="D432" i="52"/>
  <c r="F431" i="52"/>
  <c r="F419" i="52"/>
  <c r="D419" i="52"/>
  <c r="D418" i="52" s="1"/>
  <c r="G415" i="52"/>
  <c r="G414" i="52"/>
  <c r="G413" i="52"/>
  <c r="G412" i="52"/>
  <c r="G411" i="52" s="1"/>
  <c r="F411" i="52"/>
  <c r="F410" i="52" s="1"/>
  <c r="D411" i="52"/>
  <c r="D410" i="52" s="1"/>
  <c r="D407" i="52"/>
  <c r="D404" i="52"/>
  <c r="F401" i="52"/>
  <c r="D401" i="52"/>
  <c r="F398" i="52"/>
  <c r="D398" i="52"/>
  <c r="F395" i="52"/>
  <c r="D395" i="52"/>
  <c r="F392" i="52"/>
  <c r="D392" i="52"/>
  <c r="G391" i="52"/>
  <c r="D384" i="52"/>
  <c r="D381" i="52"/>
  <c r="D378" i="52"/>
  <c r="D365" i="52" s="1"/>
  <c r="D375" i="52"/>
  <c r="D372" i="52"/>
  <c r="D369" i="52"/>
  <c r="D366" i="52"/>
  <c r="G363" i="52"/>
  <c r="F362" i="52"/>
  <c r="D362" i="52"/>
  <c r="G361" i="52"/>
  <c r="F360" i="52"/>
  <c r="D360" i="52"/>
  <c r="G359" i="52"/>
  <c r="F358" i="52"/>
  <c r="D358" i="52"/>
  <c r="G357" i="52"/>
  <c r="G356" i="52"/>
  <c r="F355" i="52"/>
  <c r="G355" i="52" s="1"/>
  <c r="D355" i="52"/>
  <c r="G354" i="52"/>
  <c r="F353" i="52"/>
  <c r="D353" i="52"/>
  <c r="G352" i="52"/>
  <c r="F351" i="52"/>
  <c r="D351" i="52"/>
  <c r="H348" i="52"/>
  <c r="G348" i="52"/>
  <c r="G347" i="52"/>
  <c r="H347" i="52" s="1"/>
  <c r="F347" i="52"/>
  <c r="D347" i="52"/>
  <c r="G346" i="52"/>
  <c r="F345" i="52"/>
  <c r="E345" i="52"/>
  <c r="D345" i="52"/>
  <c r="G344" i="52"/>
  <c r="F343" i="52"/>
  <c r="D343" i="52"/>
  <c r="H342" i="52"/>
  <c r="G342" i="52"/>
  <c r="G341" i="52"/>
  <c r="H341" i="52" s="1"/>
  <c r="F341" i="52"/>
  <c r="D341" i="52"/>
  <c r="G340" i="52"/>
  <c r="F339" i="52"/>
  <c r="D339" i="52"/>
  <c r="H338" i="52"/>
  <c r="G338" i="52"/>
  <c r="G337" i="52"/>
  <c r="H337" i="52" s="1"/>
  <c r="F337" i="52"/>
  <c r="D337" i="52"/>
  <c r="E335" i="52"/>
  <c r="G335" i="52" s="1"/>
  <c r="H335" i="52" s="1"/>
  <c r="E334" i="52"/>
  <c r="G334" i="52" s="1"/>
  <c r="H334" i="52" s="1"/>
  <c r="E333" i="52"/>
  <c r="G333" i="52" s="1"/>
  <c r="H333" i="52" s="1"/>
  <c r="E332" i="52"/>
  <c r="G332" i="52" s="1"/>
  <c r="H332" i="52" s="1"/>
  <c r="E331" i="52"/>
  <c r="G331" i="52" s="1"/>
  <c r="H331" i="52" s="1"/>
  <c r="E330" i="52"/>
  <c r="G329" i="52"/>
  <c r="H329" i="52" s="1"/>
  <c r="F328" i="52"/>
  <c r="D328" i="52"/>
  <c r="D327" i="52" s="1"/>
  <c r="F324" i="52"/>
  <c r="D324" i="52"/>
  <c r="E323" i="52"/>
  <c r="G323" i="52" s="1"/>
  <c r="H323" i="52" s="1"/>
  <c r="G322" i="52"/>
  <c r="G321" i="52" s="1"/>
  <c r="E322" i="52"/>
  <c r="F321" i="52"/>
  <c r="D321" i="52"/>
  <c r="G320" i="52"/>
  <c r="H320" i="52" s="1"/>
  <c r="F319" i="52"/>
  <c r="G319" i="52" s="1"/>
  <c r="H319" i="52" s="1"/>
  <c r="D319" i="52"/>
  <c r="F317" i="52"/>
  <c r="D317" i="52"/>
  <c r="F315" i="52"/>
  <c r="D315" i="52"/>
  <c r="E314" i="52"/>
  <c r="G314" i="52" s="1"/>
  <c r="H314" i="52" s="1"/>
  <c r="E313" i="52"/>
  <c r="G313" i="52" s="1"/>
  <c r="D313" i="52"/>
  <c r="E312" i="52"/>
  <c r="G312" i="52" s="1"/>
  <c r="H312" i="52" s="1"/>
  <c r="E311" i="52"/>
  <c r="G311" i="52" s="1"/>
  <c r="H311" i="52" s="1"/>
  <c r="D311" i="52"/>
  <c r="F304" i="52"/>
  <c r="D304" i="52"/>
  <c r="F298" i="52"/>
  <c r="D298" i="52"/>
  <c r="F290" i="52"/>
  <c r="F288" i="52"/>
  <c r="G286" i="52"/>
  <c r="G285" i="52" s="1"/>
  <c r="F285" i="52"/>
  <c r="F282" i="52"/>
  <c r="F280" i="52"/>
  <c r="G279" i="52"/>
  <c r="F276" i="52"/>
  <c r="F272" i="52"/>
  <c r="D247" i="52"/>
  <c r="F235" i="52"/>
  <c r="F23" i="53" s="1"/>
  <c r="D237" i="52"/>
  <c r="E229" i="52"/>
  <c r="G229" i="52" s="1"/>
  <c r="G228" i="52"/>
  <c r="H228" i="52" s="1"/>
  <c r="E228" i="52"/>
  <c r="F227" i="52"/>
  <c r="D227" i="52"/>
  <c r="F226" i="52"/>
  <c r="D226" i="52"/>
  <c r="F223" i="52"/>
  <c r="F222" i="52" s="1"/>
  <c r="F221" i="52" s="1"/>
  <c r="F220" i="52" s="1"/>
  <c r="D223" i="52"/>
  <c r="D222" i="52" s="1"/>
  <c r="D221" i="52" s="1"/>
  <c r="D220" i="52" s="1"/>
  <c r="F208" i="52"/>
  <c r="F207" i="52" s="1"/>
  <c r="F206" i="52" s="1"/>
  <c r="D208" i="52"/>
  <c r="D207" i="52" s="1"/>
  <c r="D206" i="52" s="1"/>
  <c r="F202" i="52"/>
  <c r="F198" i="52"/>
  <c r="F195" i="52"/>
  <c r="F192" i="52"/>
  <c r="F189" i="52"/>
  <c r="F185" i="52"/>
  <c r="F182" i="52"/>
  <c r="F176" i="52"/>
  <c r="F169" i="52"/>
  <c r="F163" i="52"/>
  <c r="D163" i="52"/>
  <c r="F160" i="52"/>
  <c r="D160" i="52"/>
  <c r="D159" i="52" s="1"/>
  <c r="H157" i="52"/>
  <c r="E157" i="52"/>
  <c r="G155" i="52"/>
  <c r="H155" i="52" s="1"/>
  <c r="F144" i="52"/>
  <c r="D144" i="52"/>
  <c r="E142" i="52"/>
  <c r="G142" i="52" s="1"/>
  <c r="F139" i="52"/>
  <c r="F138" i="52" s="1"/>
  <c r="D139" i="52"/>
  <c r="D138" i="52" s="1"/>
  <c r="F130" i="52"/>
  <c r="D131" i="52"/>
  <c r="D130" i="52" s="1"/>
  <c r="D129" i="52" s="1"/>
  <c r="F125" i="52"/>
  <c r="D125" i="52"/>
  <c r="F122" i="52"/>
  <c r="F121" i="52" s="1"/>
  <c r="D122" i="52"/>
  <c r="D121" i="52" s="1"/>
  <c r="F118" i="52"/>
  <c r="D118" i="52"/>
  <c r="F115" i="52"/>
  <c r="F110" i="52" s="1"/>
  <c r="D115" i="52"/>
  <c r="F103" i="52"/>
  <c r="F102" i="52" s="1"/>
  <c r="D103" i="52"/>
  <c r="D102" i="52" s="1"/>
  <c r="D99" i="52"/>
  <c r="D98" i="52" s="1"/>
  <c r="D97" i="52" s="1"/>
  <c r="F94" i="52"/>
  <c r="D94" i="52"/>
  <c r="F93" i="52"/>
  <c r="F92" i="52" s="1"/>
  <c r="D93" i="52"/>
  <c r="D92" i="52" s="1"/>
  <c r="E90" i="52"/>
  <c r="G90" i="52" s="1"/>
  <c r="F89" i="52"/>
  <c r="D89" i="52"/>
  <c r="E88" i="52"/>
  <c r="G88" i="52" s="1"/>
  <c r="F87" i="52"/>
  <c r="F86" i="52" s="1"/>
  <c r="F85" i="52" s="1"/>
  <c r="D87" i="52"/>
  <c r="F82" i="52"/>
  <c r="F81" i="52" s="1"/>
  <c r="F80" i="52" s="1"/>
  <c r="D82" i="52"/>
  <c r="D81" i="52"/>
  <c r="D80" i="52" s="1"/>
  <c r="D77" i="52"/>
  <c r="D76" i="52"/>
  <c r="D74" i="52"/>
  <c r="D72" i="52"/>
  <c r="D70" i="52"/>
  <c r="D67" i="52"/>
  <c r="F65" i="52"/>
  <c r="D65" i="52"/>
  <c r="D64" i="52"/>
  <c r="F60" i="52"/>
  <c r="F59" i="52" s="1"/>
  <c r="D60" i="52"/>
  <c r="D59" i="52" s="1"/>
  <c r="D58" i="52" s="1"/>
  <c r="F55" i="52"/>
  <c r="F54" i="52" s="1"/>
  <c r="F53" i="52" s="1"/>
  <c r="D55" i="52"/>
  <c r="D54" i="52"/>
  <c r="D53" i="52" s="1"/>
  <c r="D47" i="52"/>
  <c r="D46" i="52"/>
  <c r="D45" i="52" s="1"/>
  <c r="D44" i="52" s="1"/>
  <c r="F41" i="52"/>
  <c r="D41" i="52"/>
  <c r="G40" i="52"/>
  <c r="F38" i="52"/>
  <c r="D38" i="52"/>
  <c r="G35" i="52"/>
  <c r="H35" i="52" s="1"/>
  <c r="F31" i="52"/>
  <c r="D31" i="52"/>
  <c r="F16" i="52"/>
  <c r="D16" i="52"/>
  <c r="F13" i="52"/>
  <c r="F13" i="53" s="1"/>
  <c r="D13" i="52"/>
  <c r="F108" i="52" l="1"/>
  <c r="F19" i="53" s="1"/>
  <c r="F418" i="52"/>
  <c r="F29" i="53"/>
  <c r="F30" i="52"/>
  <c r="F29" i="52" s="1"/>
  <c r="H88" i="52"/>
  <c r="G87" i="52"/>
  <c r="H87" i="52" s="1"/>
  <c r="E321" i="52"/>
  <c r="D86" i="52"/>
  <c r="D85" i="52" s="1"/>
  <c r="D108" i="52"/>
  <c r="F58" i="52"/>
  <c r="H229" i="52"/>
  <c r="G227" i="52"/>
  <c r="G226" i="52" s="1"/>
  <c r="H226" i="52" s="1"/>
  <c r="F159" i="52"/>
  <c r="F168" i="52"/>
  <c r="F167" i="52" s="1"/>
  <c r="F166" i="52" s="1"/>
  <c r="F297" i="52"/>
  <c r="D350" i="52"/>
  <c r="G360" i="52"/>
  <c r="D443" i="52"/>
  <c r="D442" i="52" s="1"/>
  <c r="D441" i="52" s="1"/>
  <c r="D69" i="52"/>
  <c r="D63" i="52" s="1"/>
  <c r="H321" i="52"/>
  <c r="G432" i="52"/>
  <c r="H444" i="52"/>
  <c r="G353" i="52"/>
  <c r="G443" i="52"/>
  <c r="F31" i="53"/>
  <c r="G32" i="53"/>
  <c r="G33" i="53"/>
  <c r="H33" i="53" s="1"/>
  <c r="H37" i="53"/>
  <c r="G89" i="52"/>
  <c r="H90" i="52"/>
  <c r="H443" i="52"/>
  <c r="G442" i="52"/>
  <c r="G339" i="52"/>
  <c r="H339" i="52" s="1"/>
  <c r="H340" i="52"/>
  <c r="H411" i="52"/>
  <c r="G410" i="52"/>
  <c r="H410" i="52" s="1"/>
  <c r="F417" i="52"/>
  <c r="H313" i="52"/>
  <c r="D297" i="52"/>
  <c r="D295" i="52" s="1"/>
  <c r="D234" i="52" s="1"/>
  <c r="D233" i="52" s="1"/>
  <c r="H322" i="52"/>
  <c r="G343" i="52"/>
  <c r="H343" i="52" s="1"/>
  <c r="H344" i="52"/>
  <c r="G345" i="52"/>
  <c r="H345" i="52" s="1"/>
  <c r="H346" i="52"/>
  <c r="F350" i="52"/>
  <c r="G350" i="52" s="1"/>
  <c r="G351" i="52"/>
  <c r="H412" i="52"/>
  <c r="G358" i="52"/>
  <c r="F327" i="52"/>
  <c r="E328" i="52"/>
  <c r="E327" i="52" s="1"/>
  <c r="G330" i="52"/>
  <c r="G362" i="52"/>
  <c r="F26" i="53"/>
  <c r="D431" i="52"/>
  <c r="D417" i="52" s="1"/>
  <c r="D15" i="55"/>
  <c r="H227" i="52" l="1"/>
  <c r="D14" i="55"/>
  <c r="F295" i="52"/>
  <c r="F25" i="53" s="1"/>
  <c r="D232" i="52"/>
  <c r="D14" i="52"/>
  <c r="D12" i="52" s="1"/>
  <c r="H32" i="53"/>
  <c r="G31" i="53"/>
  <c r="H31" i="53" s="1"/>
  <c r="H330" i="52"/>
  <c r="G328" i="52"/>
  <c r="H442" i="52"/>
  <c r="G441" i="52"/>
  <c r="H441" i="52" s="1"/>
  <c r="H89" i="52"/>
  <c r="G86" i="52"/>
  <c r="D304" i="49"/>
  <c r="E438" i="49"/>
  <c r="F234" i="52" l="1"/>
  <c r="F233" i="52" s="1"/>
  <c r="F232" i="52" s="1"/>
  <c r="F22" i="53"/>
  <c r="F21" i="53" s="1"/>
  <c r="D11" i="52"/>
  <c r="D461" i="52" s="1"/>
  <c r="H328" i="52"/>
  <c r="G327" i="52"/>
  <c r="H327" i="52" s="1"/>
  <c r="G85" i="52"/>
  <c r="H85" i="52" s="1"/>
  <c r="H86" i="52"/>
  <c r="E312" i="46"/>
  <c r="G312" i="46"/>
  <c r="D312" i="46"/>
  <c r="E309" i="44"/>
  <c r="F309" i="44"/>
  <c r="D309" i="44"/>
  <c r="G315" i="44"/>
  <c r="H315" i="44" s="1"/>
  <c r="F318" i="46" l="1"/>
  <c r="G309" i="44"/>
  <c r="F312" i="46" l="1"/>
  <c r="H318" i="46"/>
  <c r="H312" i="46" l="1"/>
  <c r="E310" i="49"/>
  <c r="G310" i="49" s="1"/>
  <c r="I318" i="46"/>
  <c r="J318" i="46"/>
  <c r="F308" i="49"/>
  <c r="F304" i="49" s="1"/>
  <c r="H310" i="49" l="1"/>
  <c r="E310" i="52"/>
  <c r="G310" i="52" l="1"/>
  <c r="E310" i="54" s="1"/>
  <c r="G310" i="54" s="1"/>
  <c r="F38" i="49"/>
  <c r="D38" i="49"/>
  <c r="G35" i="49"/>
  <c r="H35" i="49" s="1"/>
  <c r="G40" i="49"/>
  <c r="I38" i="46"/>
  <c r="H37" i="46"/>
  <c r="I37" i="46" s="1"/>
  <c r="H38" i="46"/>
  <c r="J38" i="46" s="1"/>
  <c r="E37" i="46"/>
  <c r="F37" i="46"/>
  <c r="G37" i="46"/>
  <c r="J37" i="46"/>
  <c r="D37" i="46"/>
  <c r="D31" i="46"/>
  <c r="H310" i="54" l="1"/>
  <c r="E310" i="57"/>
  <c r="H310" i="52"/>
  <c r="E39" i="49"/>
  <c r="G310" i="57" l="1"/>
  <c r="G39" i="49"/>
  <c r="E39" i="52" s="1"/>
  <c r="E38" i="49"/>
  <c r="G82" i="46"/>
  <c r="H310" i="57" l="1"/>
  <c r="G39" i="52"/>
  <c r="E39" i="54" s="1"/>
  <c r="E38" i="52"/>
  <c r="G38" i="49"/>
  <c r="H38" i="49" s="1"/>
  <c r="H39" i="49"/>
  <c r="G94" i="46"/>
  <c r="E38" i="54" l="1"/>
  <c r="G39" i="54"/>
  <c r="G38" i="52"/>
  <c r="H38" i="52" s="1"/>
  <c r="H39" i="52"/>
  <c r="G21" i="46"/>
  <c r="G39" i="57" l="1"/>
  <c r="E38" i="57"/>
  <c r="G38" i="54"/>
  <c r="H38" i="54" s="1"/>
  <c r="H39" i="54"/>
  <c r="H39" i="57" l="1"/>
  <c r="G38" i="57"/>
  <c r="H38" i="57" s="1"/>
  <c r="G55" i="46"/>
  <c r="D237" i="49" l="1"/>
  <c r="J34" i="47" l="1"/>
  <c r="E24" i="47"/>
  <c r="J295" i="46"/>
  <c r="J424" i="46"/>
  <c r="J438" i="46"/>
  <c r="J454" i="46"/>
  <c r="J455" i="46"/>
  <c r="J456" i="46"/>
  <c r="J461" i="46"/>
  <c r="J467" i="46"/>
  <c r="E443" i="46" l="1"/>
  <c r="E442" i="46" s="1"/>
  <c r="E439" i="46" s="1"/>
  <c r="E427" i="46"/>
  <c r="E426" i="46" s="1"/>
  <c r="E29" i="47" s="1"/>
  <c r="E415" i="46"/>
  <c r="E412" i="46"/>
  <c r="E409" i="46"/>
  <c r="E395" i="46"/>
  <c r="E393" i="46"/>
  <c r="E392" i="46" s="1"/>
  <c r="E389" i="46"/>
  <c r="E386" i="46"/>
  <c r="E383" i="46"/>
  <c r="E380" i="46"/>
  <c r="E377" i="46"/>
  <c r="E336" i="46"/>
  <c r="E335" i="46" s="1"/>
  <c r="E374" i="46"/>
  <c r="E332" i="46"/>
  <c r="E325" i="46"/>
  <c r="E323" i="46"/>
  <c r="E306" i="46"/>
  <c r="E236" i="46"/>
  <c r="E235" i="46" s="1"/>
  <c r="E234" i="46" s="1"/>
  <c r="E23" i="47" s="1"/>
  <c r="E114" i="46"/>
  <c r="E425" i="46" l="1"/>
  <c r="E30" i="47"/>
  <c r="E28" i="47" s="1"/>
  <c r="E373" i="46"/>
  <c r="E26" i="47" s="1"/>
  <c r="E305" i="46"/>
  <c r="E303" i="46" s="1"/>
  <c r="E25" i="47" s="1"/>
  <c r="E22" i="47" s="1"/>
  <c r="E21" i="47" s="1"/>
  <c r="E20" i="47" s="1"/>
  <c r="E233" i="46" l="1"/>
  <c r="E232" i="46" s="1"/>
  <c r="E231" i="46" s="1"/>
  <c r="E207" i="46" l="1"/>
  <c r="E206" i="46" s="1"/>
  <c r="E205" i="46" s="1"/>
  <c r="E222" i="46"/>
  <c r="E221" i="46" s="1"/>
  <c r="E220" i="46" s="1"/>
  <c r="E219" i="46" s="1"/>
  <c r="D222" i="46"/>
  <c r="E194" i="46"/>
  <c r="E191" i="46"/>
  <c r="E162" i="46"/>
  <c r="E159" i="46"/>
  <c r="E158" i="46" s="1"/>
  <c r="E143" i="46"/>
  <c r="E129" i="46"/>
  <c r="E128" i="46" s="1"/>
  <c r="E130" i="46"/>
  <c r="E124" i="46"/>
  <c r="E121" i="46"/>
  <c r="E120" i="46" s="1"/>
  <c r="E117" i="46"/>
  <c r="E111" i="46"/>
  <c r="E109" i="46" s="1"/>
  <c r="E102" i="46"/>
  <c r="E101" i="46" s="1"/>
  <c r="E18" i="47" s="1"/>
  <c r="E98" i="46"/>
  <c r="E97" i="46" s="1"/>
  <c r="E96" i="46" s="1"/>
  <c r="E91" i="46"/>
  <c r="E92" i="46"/>
  <c r="E93" i="46"/>
  <c r="E88" i="46"/>
  <c r="E85" i="46" s="1"/>
  <c r="E84" i="46" s="1"/>
  <c r="E81" i="46"/>
  <c r="E80" i="46" s="1"/>
  <c r="E79" i="46" s="1"/>
  <c r="E76" i="46"/>
  <c r="E75" i="46" s="1"/>
  <c r="E73" i="46"/>
  <c r="E71" i="46"/>
  <c r="E69" i="46"/>
  <c r="E66" i="46"/>
  <c r="E63" i="46" s="1"/>
  <c r="E64" i="46"/>
  <c r="E59" i="46"/>
  <c r="E58" i="46" s="1"/>
  <c r="E57" i="46" s="1"/>
  <c r="E54" i="46"/>
  <c r="E53" i="46" s="1"/>
  <c r="E52" i="46" s="1"/>
  <c r="E46" i="46"/>
  <c r="E45" i="46" s="1"/>
  <c r="E44" i="46" s="1"/>
  <c r="E40" i="46"/>
  <c r="E31" i="46"/>
  <c r="E13" i="46"/>
  <c r="E13" i="47" s="1"/>
  <c r="E16" i="46"/>
  <c r="E43" i="46" l="1"/>
  <c r="E166" i="46"/>
  <c r="E165" i="46" s="1"/>
  <c r="E107" i="46" s="1"/>
  <c r="E19" i="47" s="1"/>
  <c r="E15" i="47"/>
  <c r="E68" i="46"/>
  <c r="E16" i="47" s="1"/>
  <c r="E14" i="47" l="1"/>
  <c r="E12" i="47" s="1"/>
  <c r="E36" i="47" s="1"/>
  <c r="E11" i="47" s="1"/>
  <c r="E12" i="46"/>
  <c r="E11" i="46" s="1"/>
  <c r="E62" i="46"/>
  <c r="E469" i="46" l="1"/>
  <c r="F24" i="48" l="1"/>
  <c r="E35" i="48"/>
  <c r="F401" i="49"/>
  <c r="F407" i="49"/>
  <c r="F404" i="49"/>
  <c r="F384" i="49"/>
  <c r="F381" i="49"/>
  <c r="F378" i="49"/>
  <c r="F375" i="49"/>
  <c r="F372" i="49"/>
  <c r="F369" i="49"/>
  <c r="E368" i="49"/>
  <c r="E371" i="49"/>
  <c r="E374" i="49"/>
  <c r="E377" i="49"/>
  <c r="E380" i="49"/>
  <c r="E383" i="49"/>
  <c r="E394" i="49"/>
  <c r="E397" i="49"/>
  <c r="E400" i="49"/>
  <c r="E403" i="49"/>
  <c r="E406" i="49"/>
  <c r="G316" i="46"/>
  <c r="F470" i="49" l="1"/>
  <c r="I470" i="49" s="1"/>
  <c r="D470" i="49"/>
  <c r="F469" i="49"/>
  <c r="D469" i="49"/>
  <c r="F468" i="49"/>
  <c r="D468" i="49"/>
  <c r="F467" i="49"/>
  <c r="D467" i="49"/>
  <c r="F466" i="49"/>
  <c r="D466" i="49"/>
  <c r="F465" i="49"/>
  <c r="I465" i="49" s="1"/>
  <c r="D465" i="49"/>
  <c r="F464" i="49"/>
  <c r="I464" i="49" s="1"/>
  <c r="D464" i="49"/>
  <c r="F463" i="49"/>
  <c r="I463" i="49" s="1"/>
  <c r="D463" i="49"/>
  <c r="I462" i="49"/>
  <c r="H459" i="49"/>
  <c r="H458" i="49"/>
  <c r="G458" i="49"/>
  <c r="F458" i="49"/>
  <c r="D458" i="49"/>
  <c r="H453" i="49"/>
  <c r="H448" i="49"/>
  <c r="H447" i="49"/>
  <c r="H446" i="49"/>
  <c r="H445" i="49"/>
  <c r="G445" i="49"/>
  <c r="G444" i="49" s="1"/>
  <c r="F444" i="49"/>
  <c r="D444" i="49"/>
  <c r="G440" i="49"/>
  <c r="H440" i="49" s="1"/>
  <c r="H439" i="49"/>
  <c r="G439" i="49"/>
  <c r="F438" i="49"/>
  <c r="D438" i="49"/>
  <c r="G437" i="49"/>
  <c r="H437" i="49" s="1"/>
  <c r="F435" i="49"/>
  <c r="D435" i="49"/>
  <c r="G433" i="49"/>
  <c r="F432" i="49"/>
  <c r="D432" i="49"/>
  <c r="F419" i="49"/>
  <c r="D419" i="49"/>
  <c r="D418" i="49" s="1"/>
  <c r="F418" i="49"/>
  <c r="G415" i="49"/>
  <c r="G414" i="49"/>
  <c r="G413" i="49"/>
  <c r="G412" i="49"/>
  <c r="F411" i="49"/>
  <c r="F410" i="49" s="1"/>
  <c r="D411" i="49"/>
  <c r="D410" i="49"/>
  <c r="D407" i="49"/>
  <c r="D404" i="49"/>
  <c r="D401" i="49"/>
  <c r="F398" i="49"/>
  <c r="D398" i="49"/>
  <c r="F395" i="49"/>
  <c r="D395" i="49"/>
  <c r="F392" i="49"/>
  <c r="F365" i="49" s="1"/>
  <c r="D392" i="49"/>
  <c r="D384" i="49"/>
  <c r="D381" i="49"/>
  <c r="D378" i="49"/>
  <c r="D375" i="49"/>
  <c r="D372" i="49"/>
  <c r="D369" i="49"/>
  <c r="F366" i="49"/>
  <c r="D366" i="49"/>
  <c r="G363" i="49"/>
  <c r="F362" i="49"/>
  <c r="D362" i="49"/>
  <c r="G361" i="49"/>
  <c r="F360" i="49"/>
  <c r="D360" i="49"/>
  <c r="G360" i="49" s="1"/>
  <c r="G359" i="49"/>
  <c r="F358" i="49"/>
  <c r="D358" i="49"/>
  <c r="G358" i="49" s="1"/>
  <c r="G357" i="49"/>
  <c r="G356" i="49"/>
  <c r="F355" i="49"/>
  <c r="D355" i="49"/>
  <c r="G354" i="49"/>
  <c r="F353" i="49"/>
  <c r="D353" i="49"/>
  <c r="G352" i="49"/>
  <c r="F351" i="49"/>
  <c r="D351" i="49"/>
  <c r="G348" i="49"/>
  <c r="G347" i="49" s="1"/>
  <c r="F347" i="49"/>
  <c r="D347" i="49"/>
  <c r="G346" i="49"/>
  <c r="F345" i="49"/>
  <c r="E345" i="49"/>
  <c r="D345" i="49"/>
  <c r="G344" i="49"/>
  <c r="G343" i="49" s="1"/>
  <c r="F343" i="49"/>
  <c r="D343" i="49"/>
  <c r="G342" i="49"/>
  <c r="G341" i="49" s="1"/>
  <c r="F341" i="49"/>
  <c r="D341" i="49"/>
  <c r="G340" i="49"/>
  <c r="H340" i="49" s="1"/>
  <c r="G339" i="49"/>
  <c r="H339" i="49" s="1"/>
  <c r="F339" i="49"/>
  <c r="D339" i="49"/>
  <c r="G338" i="49"/>
  <c r="G337" i="49" s="1"/>
  <c r="F337" i="49"/>
  <c r="D337" i="49"/>
  <c r="G329" i="49"/>
  <c r="H329" i="49" s="1"/>
  <c r="F328" i="49"/>
  <c r="D328" i="49"/>
  <c r="F324" i="49"/>
  <c r="D324" i="49"/>
  <c r="F321" i="49"/>
  <c r="D321" i="49"/>
  <c r="H320" i="49"/>
  <c r="G320" i="49"/>
  <c r="G319" i="49"/>
  <c r="F319" i="49"/>
  <c r="D319" i="49"/>
  <c r="F317" i="49"/>
  <c r="D317" i="49"/>
  <c r="F315" i="49"/>
  <c r="D315" i="49"/>
  <c r="D313" i="49"/>
  <c r="D311" i="49"/>
  <c r="F298" i="49"/>
  <c r="D298" i="49"/>
  <c r="F290" i="49"/>
  <c r="F288" i="49"/>
  <c r="E287" i="49"/>
  <c r="G286" i="49"/>
  <c r="G285" i="49" s="1"/>
  <c r="E286" i="49"/>
  <c r="F285" i="49"/>
  <c r="E285" i="49"/>
  <c r="E284" i="49"/>
  <c r="F282" i="49"/>
  <c r="F280" i="49"/>
  <c r="G279" i="49"/>
  <c r="E279" i="49"/>
  <c r="F276" i="49"/>
  <c r="E275" i="49"/>
  <c r="F272" i="49"/>
  <c r="E271" i="49"/>
  <c r="E267" i="49"/>
  <c r="E263" i="49"/>
  <c r="E259" i="49"/>
  <c r="F247" i="49"/>
  <c r="D247" i="49"/>
  <c r="F237" i="49"/>
  <c r="E229" i="49"/>
  <c r="G229" i="49" s="1"/>
  <c r="H229" i="49" s="1"/>
  <c r="E228" i="49"/>
  <c r="G228" i="49" s="1"/>
  <c r="F227" i="49"/>
  <c r="F226" i="49" s="1"/>
  <c r="D227" i="49"/>
  <c r="D226" i="49" s="1"/>
  <c r="F223" i="49"/>
  <c r="F222" i="49" s="1"/>
  <c r="F221" i="49" s="1"/>
  <c r="F220" i="49" s="1"/>
  <c r="D223" i="49"/>
  <c r="D222" i="49" s="1"/>
  <c r="F208" i="49"/>
  <c r="F207" i="49" s="1"/>
  <c r="F206" i="49" s="1"/>
  <c r="D208" i="49"/>
  <c r="D207" i="49" s="1"/>
  <c r="D206" i="49" s="1"/>
  <c r="F202" i="49"/>
  <c r="D202" i="49"/>
  <c r="F198" i="49"/>
  <c r="D198" i="49"/>
  <c r="F195" i="49"/>
  <c r="D195" i="49"/>
  <c r="F192" i="49"/>
  <c r="D192" i="49"/>
  <c r="F189" i="49"/>
  <c r="D189" i="49"/>
  <c r="F185" i="49"/>
  <c r="D185" i="49"/>
  <c r="F182" i="49"/>
  <c r="D182" i="49"/>
  <c r="F176" i="49"/>
  <c r="D176" i="49"/>
  <c r="F169" i="49"/>
  <c r="D169" i="49"/>
  <c r="F163" i="49"/>
  <c r="D163" i="49"/>
  <c r="F160" i="49"/>
  <c r="D160" i="49"/>
  <c r="D159" i="49"/>
  <c r="H157" i="49"/>
  <c r="E157" i="49"/>
  <c r="G155" i="49"/>
  <c r="H155" i="49" s="1"/>
  <c r="F144" i="49"/>
  <c r="D144" i="49"/>
  <c r="E142" i="49"/>
  <c r="G142" i="49" s="1"/>
  <c r="F139" i="49"/>
  <c r="F138" i="49" s="1"/>
  <c r="D139" i="49"/>
  <c r="D138" i="49" s="1"/>
  <c r="F131" i="49"/>
  <c r="F130" i="49" s="1"/>
  <c r="F129" i="49" s="1"/>
  <c r="D131" i="49"/>
  <c r="D130" i="49" s="1"/>
  <c r="D129" i="49" s="1"/>
  <c r="F125" i="49"/>
  <c r="D125" i="49"/>
  <c r="F122" i="49"/>
  <c r="F121" i="49" s="1"/>
  <c r="D122" i="49"/>
  <c r="D121" i="49" s="1"/>
  <c r="F118" i="49"/>
  <c r="D118" i="49"/>
  <c r="F115" i="49"/>
  <c r="D115" i="49"/>
  <c r="F112" i="49"/>
  <c r="D112" i="49"/>
  <c r="F103" i="49"/>
  <c r="F102" i="49" s="1"/>
  <c r="D103" i="49"/>
  <c r="D102" i="49" s="1"/>
  <c r="D99" i="49"/>
  <c r="D98" i="49" s="1"/>
  <c r="D97" i="49" s="1"/>
  <c r="F94" i="49"/>
  <c r="D94" i="49"/>
  <c r="F93" i="49"/>
  <c r="D93" i="49"/>
  <c r="D92" i="49" s="1"/>
  <c r="F89" i="49"/>
  <c r="D89" i="49"/>
  <c r="F87" i="49"/>
  <c r="D87" i="49"/>
  <c r="F82" i="49"/>
  <c r="F81" i="49" s="1"/>
  <c r="F80" i="49" s="1"/>
  <c r="D82" i="49"/>
  <c r="D81" i="49" s="1"/>
  <c r="D80" i="49" s="1"/>
  <c r="F77" i="49"/>
  <c r="F76" i="49" s="1"/>
  <c r="D77" i="49"/>
  <c r="D76" i="49" s="1"/>
  <c r="D74" i="49"/>
  <c r="F72" i="49"/>
  <c r="D72" i="49"/>
  <c r="F70" i="49"/>
  <c r="D70" i="49"/>
  <c r="F67" i="49"/>
  <c r="D67" i="49"/>
  <c r="F65" i="49"/>
  <c r="D65" i="49"/>
  <c r="F60" i="49"/>
  <c r="F59" i="49" s="1"/>
  <c r="D60" i="49"/>
  <c r="D59" i="49" s="1"/>
  <c r="F55" i="49"/>
  <c r="D55" i="49"/>
  <c r="D54" i="49" s="1"/>
  <c r="D53" i="49" s="1"/>
  <c r="F54" i="49"/>
  <c r="F53" i="49" s="1"/>
  <c r="F47" i="49"/>
  <c r="F46" i="49" s="1"/>
  <c r="F45" i="49" s="1"/>
  <c r="D47" i="49"/>
  <c r="D46" i="49" s="1"/>
  <c r="D45" i="49" s="1"/>
  <c r="F41" i="49"/>
  <c r="D41" i="49"/>
  <c r="F31" i="49"/>
  <c r="F16" i="49"/>
  <c r="D16" i="49"/>
  <c r="D13" i="49"/>
  <c r="F41" i="48"/>
  <c r="F40" i="48"/>
  <c r="F39" i="48"/>
  <c r="H39" i="48" s="1"/>
  <c r="H38" i="48"/>
  <c r="F38" i="48"/>
  <c r="F37" i="48"/>
  <c r="D33" i="48"/>
  <c r="D32" i="48"/>
  <c r="E31" i="48"/>
  <c r="D31" i="48"/>
  <c r="D28" i="48"/>
  <c r="E27" i="48"/>
  <c r="D18" i="55" l="1"/>
  <c r="F92" i="49"/>
  <c r="F16" i="48"/>
  <c r="F58" i="49"/>
  <c r="F15" i="48"/>
  <c r="F23" i="48"/>
  <c r="H444" i="49"/>
  <c r="G443" i="49"/>
  <c r="D44" i="49"/>
  <c r="D17" i="53"/>
  <c r="D17" i="48"/>
  <c r="D167" i="49"/>
  <c r="D166" i="49" s="1"/>
  <c r="D327" i="49"/>
  <c r="F443" i="49"/>
  <c r="F442" i="49" s="1"/>
  <c r="F441" i="49" s="1"/>
  <c r="F34" i="53"/>
  <c r="G34" i="53" s="1"/>
  <c r="H34" i="53" s="1"/>
  <c r="F34" i="48"/>
  <c r="G34" i="48" s="1"/>
  <c r="H34" i="48" s="1"/>
  <c r="D443" i="49"/>
  <c r="D442" i="49" s="1"/>
  <c r="D441" i="49" s="1"/>
  <c r="H319" i="49"/>
  <c r="H337" i="49"/>
  <c r="H343" i="49"/>
  <c r="H347" i="49"/>
  <c r="D434" i="49"/>
  <c r="F35" i="53"/>
  <c r="G35" i="53" s="1"/>
  <c r="H35" i="53" s="1"/>
  <c r="F35" i="48"/>
  <c r="G35" i="48" s="1"/>
  <c r="H35" i="48" s="1"/>
  <c r="F86" i="49"/>
  <c r="F85" i="49" s="1"/>
  <c r="D13" i="53"/>
  <c r="D13" i="48"/>
  <c r="D86" i="49"/>
  <c r="D85" i="49" s="1"/>
  <c r="D18" i="53"/>
  <c r="D18" i="48"/>
  <c r="H342" i="49"/>
  <c r="H344" i="49"/>
  <c r="H348" i="49"/>
  <c r="D350" i="49"/>
  <c r="G355" i="49"/>
  <c r="G362" i="49"/>
  <c r="F18" i="48"/>
  <c r="F44" i="49"/>
  <c r="F168" i="49"/>
  <c r="F167" i="49" s="1"/>
  <c r="F166" i="49" s="1"/>
  <c r="F29" i="48"/>
  <c r="F26" i="48"/>
  <c r="D69" i="49"/>
  <c r="D16" i="53" s="1"/>
  <c r="D365" i="49"/>
  <c r="D297" i="49"/>
  <c r="D295" i="49" s="1"/>
  <c r="G27" i="48"/>
  <c r="F74" i="49"/>
  <c r="F69" i="49" s="1"/>
  <c r="F64" i="49"/>
  <c r="D221" i="49"/>
  <c r="D220" i="49" s="1"/>
  <c r="D58" i="49"/>
  <c r="H228" i="49"/>
  <c r="G227" i="49"/>
  <c r="G432" i="49"/>
  <c r="H443" i="49"/>
  <c r="G442" i="49"/>
  <c r="F434" i="49"/>
  <c r="F431" i="49" s="1"/>
  <c r="G438" i="49"/>
  <c r="F13" i="49"/>
  <c r="D64" i="49"/>
  <c r="D63" i="49" s="1"/>
  <c r="F159" i="49"/>
  <c r="F108" i="49" s="1"/>
  <c r="H338" i="49"/>
  <c r="G353" i="49"/>
  <c r="F297" i="49"/>
  <c r="F327" i="49"/>
  <c r="G411" i="49"/>
  <c r="H412" i="49"/>
  <c r="H341" i="49"/>
  <c r="G345" i="49"/>
  <c r="H345" i="49" s="1"/>
  <c r="H346" i="49"/>
  <c r="G351" i="49"/>
  <c r="F350" i="49"/>
  <c r="G350" i="49" s="1"/>
  <c r="D431" i="49"/>
  <c r="D417" i="49" s="1"/>
  <c r="H37" i="48"/>
  <c r="H18" i="55" l="1"/>
  <c r="D12" i="55"/>
  <c r="D12" i="58"/>
  <c r="H18" i="58"/>
  <c r="H438" i="49"/>
  <c r="E438" i="52"/>
  <c r="G438" i="52" s="1"/>
  <c r="H438" i="52" s="1"/>
  <c r="H27" i="48"/>
  <c r="E27" i="53"/>
  <c r="G27" i="53" s="1"/>
  <c r="H27" i="53" s="1"/>
  <c r="D19" i="48"/>
  <c r="D19" i="53"/>
  <c r="F417" i="49"/>
  <c r="F30" i="48"/>
  <c r="F28" i="48" s="1"/>
  <c r="D16" i="48"/>
  <c r="D25" i="53"/>
  <c r="D25" i="48"/>
  <c r="D15" i="48"/>
  <c r="D14" i="48" s="1"/>
  <c r="D26" i="48"/>
  <c r="D22" i="48" s="1"/>
  <c r="D21" i="48" s="1"/>
  <c r="D20" i="48" s="1"/>
  <c r="D26" i="53"/>
  <c r="F19" i="48"/>
  <c r="D15" i="53"/>
  <c r="D14" i="53" s="1"/>
  <c r="D14" i="49"/>
  <c r="F295" i="49"/>
  <c r="F234" i="49" s="1"/>
  <c r="F233" i="49" s="1"/>
  <c r="F232" i="49" s="1"/>
  <c r="F14" i="49"/>
  <c r="F14" i="48"/>
  <c r="F13" i="48"/>
  <c r="D234" i="49"/>
  <c r="D233" i="49" s="1"/>
  <c r="D232" i="49" s="1"/>
  <c r="F63" i="49"/>
  <c r="H442" i="49"/>
  <c r="G441" i="49"/>
  <c r="H441" i="49" s="1"/>
  <c r="G410" i="49"/>
  <c r="H410" i="49" s="1"/>
  <c r="H411" i="49"/>
  <c r="G226" i="49"/>
  <c r="H226" i="49" s="1"/>
  <c r="H227" i="49"/>
  <c r="D36" i="58" l="1"/>
  <c r="D42" i="58" s="1"/>
  <c r="D11" i="58"/>
  <c r="D36" i="55"/>
  <c r="D42" i="55" s="1"/>
  <c r="D11" i="55"/>
  <c r="D12" i="53"/>
  <c r="D12" i="48"/>
  <c r="D36" i="48" s="1"/>
  <c r="D42" i="48" s="1"/>
  <c r="F12" i="49"/>
  <c r="F11" i="49" s="1"/>
  <c r="F461" i="49" s="1"/>
  <c r="D22" i="53"/>
  <c r="F28" i="53"/>
  <c r="F25" i="48"/>
  <c r="F12" i="48"/>
  <c r="D12" i="49"/>
  <c r="F22" i="48" l="1"/>
  <c r="F21" i="48" s="1"/>
  <c r="F20" i="48" s="1"/>
  <c r="F11" i="48" s="1"/>
  <c r="D11" i="48"/>
  <c r="D21" i="53"/>
  <c r="F20" i="53"/>
  <c r="D11" i="49"/>
  <c r="D20" i="53" l="1"/>
  <c r="D461" i="49"/>
  <c r="F128" i="44"/>
  <c r="D36" i="53" l="1"/>
  <c r="D42" i="53" s="1"/>
  <c r="D11" i="53"/>
  <c r="G60" i="46"/>
  <c r="G306" i="46" l="1"/>
  <c r="G233" i="42"/>
  <c r="E233" i="42"/>
  <c r="G24" i="47"/>
  <c r="F21" i="44" l="1"/>
  <c r="F91" i="44" l="1"/>
  <c r="F313" i="44" l="1"/>
  <c r="F21" i="36" l="1"/>
  <c r="G415" i="46" l="1"/>
  <c r="G412" i="46"/>
  <c r="G409" i="46"/>
  <c r="G392" i="46"/>
  <c r="G389" i="46"/>
  <c r="G386" i="46"/>
  <c r="G383" i="46"/>
  <c r="G380" i="46"/>
  <c r="G377" i="46"/>
  <c r="G374" i="46"/>
  <c r="F376" i="46"/>
  <c r="F379" i="46"/>
  <c r="F382" i="46"/>
  <c r="F385" i="46"/>
  <c r="F388" i="46"/>
  <c r="F391" i="46"/>
  <c r="F399" i="46"/>
  <c r="F402" i="46"/>
  <c r="F405" i="46"/>
  <c r="F408" i="46"/>
  <c r="F411" i="46"/>
  <c r="F414" i="46"/>
  <c r="G296" i="46"/>
  <c r="G288" i="46"/>
  <c r="G284" i="46"/>
  <c r="G280" i="46"/>
  <c r="G276" i="46"/>
  <c r="G272" i="46"/>
  <c r="G268" i="46"/>
  <c r="F267" i="46"/>
  <c r="F271" i="46"/>
  <c r="F275" i="46"/>
  <c r="F279" i="46"/>
  <c r="F283" i="46"/>
  <c r="F287" i="46"/>
  <c r="F292" i="46"/>
  <c r="F293" i="46"/>
  <c r="F294" i="46"/>
  <c r="F295" i="46"/>
  <c r="F154" i="46"/>
  <c r="F333" i="44"/>
  <c r="F322" i="44"/>
  <c r="F320" i="44"/>
  <c r="F302" i="44"/>
  <c r="G339" i="44"/>
  <c r="H339" i="44" s="1"/>
  <c r="F342" i="46" l="1"/>
  <c r="F52" i="44"/>
  <c r="F69" i="44" l="1"/>
  <c r="F57" i="44" l="1"/>
  <c r="F24" i="45" l="1"/>
  <c r="F131" i="42"/>
  <c r="F131" i="40" l="1"/>
  <c r="F128" i="40"/>
  <c r="F47" i="42" l="1"/>
  <c r="G46" i="42"/>
  <c r="H46" i="42" s="1"/>
  <c r="G46" i="40"/>
  <c r="H46" i="40" s="1"/>
  <c r="F47" i="40"/>
  <c r="D43" i="40"/>
  <c r="F17" i="43" l="1"/>
  <c r="F40" i="42"/>
  <c r="F17" i="41"/>
  <c r="G47" i="40"/>
  <c r="E47" i="42" l="1"/>
  <c r="H47" i="40"/>
  <c r="F96" i="42"/>
  <c r="G47" i="42" l="1"/>
  <c r="F79" i="42"/>
  <c r="H47" i="42" l="1"/>
  <c r="E47" i="44"/>
  <c r="G47" i="44" s="1"/>
  <c r="H47" i="44" l="1"/>
  <c r="F50" i="46"/>
  <c r="H50" i="46" s="1"/>
  <c r="F298" i="42"/>
  <c r="J50" i="46" l="1"/>
  <c r="I50" i="46"/>
  <c r="E51" i="49"/>
  <c r="G51" i="49" s="1"/>
  <c r="G41" i="47"/>
  <c r="G40" i="47"/>
  <c r="G39" i="47"/>
  <c r="I39" i="47" s="1"/>
  <c r="I38" i="47"/>
  <c r="G38" i="47"/>
  <c r="G37" i="47"/>
  <c r="H35" i="47"/>
  <c r="I35" i="47" s="1"/>
  <c r="D33" i="47"/>
  <c r="D32" i="47" s="1"/>
  <c r="D31" i="47" s="1"/>
  <c r="F31" i="47"/>
  <c r="D28" i="47"/>
  <c r="D22" i="47"/>
  <c r="D21" i="47" s="1"/>
  <c r="D14" i="47"/>
  <c r="D12" i="47"/>
  <c r="G478" i="46"/>
  <c r="K478" i="46" s="1"/>
  <c r="D478" i="46"/>
  <c r="G477" i="46"/>
  <c r="D477" i="46"/>
  <c r="G476" i="46"/>
  <c r="D476" i="46"/>
  <c r="G475" i="46"/>
  <c r="D475" i="46"/>
  <c r="G474" i="46"/>
  <c r="D474" i="46"/>
  <c r="G473" i="46"/>
  <c r="K473" i="46" s="1"/>
  <c r="D473" i="46"/>
  <c r="G472" i="46"/>
  <c r="K472" i="46" s="1"/>
  <c r="D472" i="46"/>
  <c r="G471" i="46"/>
  <c r="K471" i="46" s="1"/>
  <c r="D471" i="46"/>
  <c r="K470" i="46"/>
  <c r="I467" i="46"/>
  <c r="H466" i="46"/>
  <c r="G466" i="46"/>
  <c r="D466" i="46"/>
  <c r="I461" i="46"/>
  <c r="I456" i="46"/>
  <c r="I455" i="46"/>
  <c r="I454" i="46"/>
  <c r="H453" i="46"/>
  <c r="G452" i="46"/>
  <c r="D452" i="46"/>
  <c r="H448" i="46"/>
  <c r="H447" i="46"/>
  <c r="D446" i="46"/>
  <c r="H445" i="46"/>
  <c r="G443" i="46"/>
  <c r="D443" i="46"/>
  <c r="H441" i="46"/>
  <c r="G440" i="46"/>
  <c r="D440" i="46"/>
  <c r="G427" i="46"/>
  <c r="G426" i="46" s="1"/>
  <c r="G29" i="47" s="1"/>
  <c r="D427" i="46"/>
  <c r="D426" i="46" s="1"/>
  <c r="H423" i="46"/>
  <c r="J423" i="46" s="1"/>
  <c r="H422" i="46"/>
  <c r="J422" i="46" s="1"/>
  <c r="H421" i="46"/>
  <c r="J421" i="46" s="1"/>
  <c r="H420" i="46"/>
  <c r="J420" i="46" s="1"/>
  <c r="G419" i="46"/>
  <c r="G418" i="46" s="1"/>
  <c r="D419" i="46"/>
  <c r="D418" i="46" s="1"/>
  <c r="D415" i="46"/>
  <c r="D412" i="46"/>
  <c r="D409" i="46"/>
  <c r="G406" i="46"/>
  <c r="D406" i="46"/>
  <c r="G403" i="46"/>
  <c r="D403" i="46"/>
  <c r="G400" i="46"/>
  <c r="D400" i="46"/>
  <c r="H399" i="46"/>
  <c r="D392" i="46"/>
  <c r="D389" i="46"/>
  <c r="D386" i="46"/>
  <c r="D383" i="46"/>
  <c r="D380" i="46"/>
  <c r="D377" i="46"/>
  <c r="D374" i="46"/>
  <c r="H371" i="46"/>
  <c r="G370" i="46"/>
  <c r="D370" i="46"/>
  <c r="H369" i="46"/>
  <c r="G368" i="46"/>
  <c r="D368" i="46"/>
  <c r="H367" i="46"/>
  <c r="G366" i="46"/>
  <c r="D366" i="46"/>
  <c r="H365" i="46"/>
  <c r="H364" i="46"/>
  <c r="G363" i="46"/>
  <c r="D363" i="46"/>
  <c r="H362" i="46"/>
  <c r="G361" i="46"/>
  <c r="D361" i="46"/>
  <c r="H360" i="46"/>
  <c r="G359" i="46"/>
  <c r="D359" i="46"/>
  <c r="H356" i="46"/>
  <c r="G355" i="46"/>
  <c r="D355" i="46"/>
  <c r="H354" i="46"/>
  <c r="G353" i="46"/>
  <c r="F353" i="46"/>
  <c r="D353" i="46"/>
  <c r="H352" i="46"/>
  <c r="H351" i="46" s="1"/>
  <c r="G351" i="46"/>
  <c r="D351" i="46"/>
  <c r="H350" i="46"/>
  <c r="H349" i="46" s="1"/>
  <c r="G349" i="46"/>
  <c r="D349" i="46"/>
  <c r="H348" i="46"/>
  <c r="G347" i="46"/>
  <c r="D347" i="46"/>
  <c r="H346" i="46"/>
  <c r="H345" i="46" s="1"/>
  <c r="G345" i="46"/>
  <c r="D345" i="46"/>
  <c r="H342" i="46"/>
  <c r="H337" i="46"/>
  <c r="G336" i="46"/>
  <c r="D336" i="46"/>
  <c r="G332" i="46"/>
  <c r="D332" i="46"/>
  <c r="H331" i="46"/>
  <c r="H330" i="46"/>
  <c r="G329" i="46"/>
  <c r="F329" i="46"/>
  <c r="D329" i="46"/>
  <c r="H328" i="46"/>
  <c r="G327" i="46"/>
  <c r="H327" i="46" s="1"/>
  <c r="J327" i="46" s="1"/>
  <c r="D327" i="46"/>
  <c r="G325" i="46"/>
  <c r="D325" i="46"/>
  <c r="G323" i="46"/>
  <c r="D323" i="46"/>
  <c r="D321" i="46"/>
  <c r="D319" i="46"/>
  <c r="D306" i="46"/>
  <c r="G298" i="46"/>
  <c r="D298" i="46"/>
  <c r="H294" i="46"/>
  <c r="G293" i="46"/>
  <c r="D293" i="46"/>
  <c r="G290" i="46"/>
  <c r="D290" i="46"/>
  <c r="H287" i="46"/>
  <c r="D280" i="46"/>
  <c r="H264" i="46"/>
  <c r="H263" i="46"/>
  <c r="H262" i="46"/>
  <c r="H261" i="46"/>
  <c r="H260" i="46"/>
  <c r="H259" i="46"/>
  <c r="H258" i="46"/>
  <c r="H257" i="46"/>
  <c r="H256" i="46"/>
  <c r="H255" i="46"/>
  <c r="H254" i="46"/>
  <c r="H253" i="46"/>
  <c r="H252" i="46"/>
  <c r="H251" i="46"/>
  <c r="H250" i="46"/>
  <c r="H249" i="46"/>
  <c r="H248" i="46"/>
  <c r="H247" i="46"/>
  <c r="G246" i="46"/>
  <c r="F246" i="46"/>
  <c r="D246" i="46"/>
  <c r="D235" i="46" s="1"/>
  <c r="G236" i="46"/>
  <c r="G226" i="46"/>
  <c r="D226" i="46"/>
  <c r="D225" i="46" s="1"/>
  <c r="G225" i="46"/>
  <c r="G222" i="46"/>
  <c r="G221" i="46" s="1"/>
  <c r="G220" i="46" s="1"/>
  <c r="G219" i="46" s="1"/>
  <c r="D221" i="46"/>
  <c r="D220" i="46" s="1"/>
  <c r="D219" i="46" s="1"/>
  <c r="G207" i="46"/>
  <c r="G206" i="46" s="1"/>
  <c r="G205" i="46" s="1"/>
  <c r="D207" i="46"/>
  <c r="D206" i="46"/>
  <c r="D205" i="46" s="1"/>
  <c r="G201" i="46"/>
  <c r="D201" i="46"/>
  <c r="G197" i="46"/>
  <c r="D197" i="46"/>
  <c r="G194" i="46"/>
  <c r="D194" i="46"/>
  <c r="G191" i="46"/>
  <c r="D191" i="46"/>
  <c r="G188" i="46"/>
  <c r="D188" i="46"/>
  <c r="G184" i="46"/>
  <c r="D184" i="46"/>
  <c r="G181" i="46"/>
  <c r="D181" i="46"/>
  <c r="G175" i="46"/>
  <c r="D175" i="46"/>
  <c r="G168" i="46"/>
  <c r="D168" i="46"/>
  <c r="G162" i="46"/>
  <c r="D162" i="46"/>
  <c r="G159" i="46"/>
  <c r="D159" i="46"/>
  <c r="F156" i="46"/>
  <c r="H154" i="46"/>
  <c r="G143" i="46"/>
  <c r="D143" i="46"/>
  <c r="G138" i="46"/>
  <c r="G137" i="46" s="1"/>
  <c r="D138" i="46"/>
  <c r="D137" i="46" s="1"/>
  <c r="G129" i="46"/>
  <c r="G128" i="46" s="1"/>
  <c r="D130" i="46"/>
  <c r="D129" i="46" s="1"/>
  <c r="D128" i="46" s="1"/>
  <c r="G124" i="46"/>
  <c r="D124" i="46"/>
  <c r="G121" i="46"/>
  <c r="G120" i="46" s="1"/>
  <c r="D121" i="46"/>
  <c r="D120" i="46" s="1"/>
  <c r="G117" i="46"/>
  <c r="D117" i="46"/>
  <c r="G114" i="46"/>
  <c r="D114" i="46"/>
  <c r="G111" i="46"/>
  <c r="D111" i="46"/>
  <c r="D109" i="46" s="1"/>
  <c r="G109" i="46"/>
  <c r="G102" i="46"/>
  <c r="G101" i="46" s="1"/>
  <c r="G18" i="47" s="1"/>
  <c r="D102" i="46"/>
  <c r="D101" i="46" s="1"/>
  <c r="G98" i="46"/>
  <c r="G97" i="46" s="1"/>
  <c r="G96" i="46" s="1"/>
  <c r="D98" i="46"/>
  <c r="D97" i="46" s="1"/>
  <c r="D96" i="46" s="1"/>
  <c r="G93" i="46"/>
  <c r="D93" i="46"/>
  <c r="G92" i="46"/>
  <c r="D92" i="46"/>
  <c r="D91" i="46" s="1"/>
  <c r="G88" i="46"/>
  <c r="D88" i="46"/>
  <c r="D85" i="46" s="1"/>
  <c r="D84" i="46" s="1"/>
  <c r="G86" i="46"/>
  <c r="G85" i="46" s="1"/>
  <c r="G84" i="46" s="1"/>
  <c r="D86" i="46"/>
  <c r="G81" i="46"/>
  <c r="G80" i="46" s="1"/>
  <c r="G79" i="46" s="1"/>
  <c r="D81" i="46"/>
  <c r="D80" i="46" s="1"/>
  <c r="D79" i="46" s="1"/>
  <c r="G76" i="46"/>
  <c r="G75" i="46" s="1"/>
  <c r="D76" i="46"/>
  <c r="D75" i="46" s="1"/>
  <c r="G73" i="46"/>
  <c r="D73" i="46"/>
  <c r="G71" i="46"/>
  <c r="D71" i="46"/>
  <c r="G69" i="46"/>
  <c r="D69" i="46"/>
  <c r="G66" i="46"/>
  <c r="D66" i="46"/>
  <c r="G64" i="46"/>
  <c r="D64" i="46"/>
  <c r="G59" i="46"/>
  <c r="G58" i="46" s="1"/>
  <c r="D59" i="46"/>
  <c r="D58" i="46" s="1"/>
  <c r="D57" i="46" s="1"/>
  <c r="G54" i="46"/>
  <c r="G53" i="46" s="1"/>
  <c r="G52" i="46" s="1"/>
  <c r="D54" i="46"/>
  <c r="D53" i="46" s="1"/>
  <c r="D52" i="46" s="1"/>
  <c r="G46" i="46"/>
  <c r="G45" i="46" s="1"/>
  <c r="G44" i="46" s="1"/>
  <c r="D46" i="46"/>
  <c r="D45" i="46" s="1"/>
  <c r="D44" i="46" s="1"/>
  <c r="D43" i="46" s="1"/>
  <c r="G40" i="46"/>
  <c r="D40" i="46"/>
  <c r="G31" i="46"/>
  <c r="G16" i="46"/>
  <c r="D16" i="46"/>
  <c r="G13" i="46"/>
  <c r="G13" i="47" s="1"/>
  <c r="D13" i="46"/>
  <c r="E263" i="44"/>
  <c r="G263" i="44" s="1"/>
  <c r="F266" i="46" s="1"/>
  <c r="G263" i="42"/>
  <c r="G91" i="46" l="1"/>
  <c r="G16" i="47"/>
  <c r="G57" i="46"/>
  <c r="G15" i="47"/>
  <c r="H51" i="49"/>
  <c r="E51" i="52"/>
  <c r="H370" i="46"/>
  <c r="H266" i="46"/>
  <c r="I250" i="46"/>
  <c r="J250" i="46"/>
  <c r="E251" i="49"/>
  <c r="G251" i="49" s="1"/>
  <c r="E251" i="52" s="1"/>
  <c r="G251" i="52" s="1"/>
  <c r="H251" i="52" s="1"/>
  <c r="I254" i="46"/>
  <c r="J254" i="46"/>
  <c r="E255" i="49"/>
  <c r="G255" i="49" s="1"/>
  <c r="I258" i="46"/>
  <c r="J258" i="46"/>
  <c r="I262" i="46"/>
  <c r="J262" i="46"/>
  <c r="I447" i="46"/>
  <c r="J447" i="46"/>
  <c r="H452" i="46"/>
  <c r="J452" i="46" s="1"/>
  <c r="J453" i="46"/>
  <c r="I249" i="46"/>
  <c r="J249" i="46"/>
  <c r="E250" i="49"/>
  <c r="G250" i="49" s="1"/>
  <c r="E250" i="52" s="1"/>
  <c r="G250" i="52" s="1"/>
  <c r="H250" i="52" s="1"/>
  <c r="I253" i="46"/>
  <c r="J253" i="46"/>
  <c r="E254" i="49"/>
  <c r="G254" i="49" s="1"/>
  <c r="E254" i="52" s="1"/>
  <c r="G254" i="52" s="1"/>
  <c r="H254" i="52" s="1"/>
  <c r="I261" i="46"/>
  <c r="J261" i="46"/>
  <c r="I337" i="46"/>
  <c r="J337" i="46"/>
  <c r="I154" i="46"/>
  <c r="J154" i="46"/>
  <c r="E155" i="49"/>
  <c r="J247" i="46"/>
  <c r="E248" i="49"/>
  <c r="G248" i="49" s="1"/>
  <c r="E248" i="52" s="1"/>
  <c r="I251" i="46"/>
  <c r="J251" i="46"/>
  <c r="E252" i="49"/>
  <c r="G252" i="49" s="1"/>
  <c r="E252" i="52" s="1"/>
  <c r="G252" i="52" s="1"/>
  <c r="H252" i="52" s="1"/>
  <c r="I255" i="46"/>
  <c r="J255" i="46"/>
  <c r="E256" i="49"/>
  <c r="G256" i="49" s="1"/>
  <c r="I259" i="46"/>
  <c r="J259" i="46"/>
  <c r="I263" i="46"/>
  <c r="J263" i="46"/>
  <c r="H293" i="46"/>
  <c r="J293" i="46" s="1"/>
  <c r="J294" i="46"/>
  <c r="I328" i="46"/>
  <c r="J328" i="46"/>
  <c r="H329" i="46"/>
  <c r="J330" i="46"/>
  <c r="E322" i="49"/>
  <c r="D358" i="46"/>
  <c r="I445" i="46"/>
  <c r="J445" i="46"/>
  <c r="I448" i="46"/>
  <c r="J448" i="46"/>
  <c r="I257" i="46"/>
  <c r="J257" i="46"/>
  <c r="G451" i="46"/>
  <c r="G450" i="46" s="1"/>
  <c r="G449" i="46" s="1"/>
  <c r="F33" i="48"/>
  <c r="G33" i="47"/>
  <c r="I466" i="46"/>
  <c r="J466" i="46"/>
  <c r="D234" i="46"/>
  <c r="I248" i="46"/>
  <c r="J248" i="46"/>
  <c r="E249" i="49"/>
  <c r="G249" i="49" s="1"/>
  <c r="E249" i="52" s="1"/>
  <c r="G249" i="52" s="1"/>
  <c r="H249" i="52" s="1"/>
  <c r="I252" i="46"/>
  <c r="J252" i="46"/>
  <c r="E253" i="49"/>
  <c r="G253" i="49" s="1"/>
  <c r="E253" i="52" s="1"/>
  <c r="G253" i="52" s="1"/>
  <c r="H253" i="52" s="1"/>
  <c r="I256" i="46"/>
  <c r="J256" i="46"/>
  <c r="I260" i="46"/>
  <c r="J260" i="46"/>
  <c r="I264" i="46"/>
  <c r="J264" i="46"/>
  <c r="I331" i="46"/>
  <c r="J331" i="46"/>
  <c r="E323" i="49"/>
  <c r="G323" i="49" s="1"/>
  <c r="E258" i="49"/>
  <c r="G258" i="49" s="1"/>
  <c r="J266" i="46"/>
  <c r="E391" i="49"/>
  <c r="G391" i="49" s="1"/>
  <c r="G167" i="46"/>
  <c r="G166" i="46" s="1"/>
  <c r="G165" i="46" s="1"/>
  <c r="E334" i="49"/>
  <c r="G334" i="49" s="1"/>
  <c r="H334" i="49" s="1"/>
  <c r="G305" i="46"/>
  <c r="G25" i="47" s="1"/>
  <c r="G43" i="46"/>
  <c r="D20" i="47"/>
  <c r="D36" i="47" s="1"/>
  <c r="D42" i="47" s="1"/>
  <c r="H355" i="46"/>
  <c r="D63" i="46"/>
  <c r="G158" i="46"/>
  <c r="D167" i="46"/>
  <c r="D166" i="46" s="1"/>
  <c r="D165" i="46" s="1"/>
  <c r="D305" i="46"/>
  <c r="G335" i="46"/>
  <c r="D68" i="46"/>
  <c r="G23" i="47"/>
  <c r="I327" i="46"/>
  <c r="H347" i="46"/>
  <c r="I452" i="46"/>
  <c r="H451" i="46"/>
  <c r="J451" i="46" s="1"/>
  <c r="I330" i="46"/>
  <c r="G373" i="46"/>
  <c r="G26" i="47" s="1"/>
  <c r="I453" i="46"/>
  <c r="H363" i="46"/>
  <c r="H366" i="46"/>
  <c r="D451" i="46"/>
  <c r="D450" i="46" s="1"/>
  <c r="D449" i="46" s="1"/>
  <c r="D158" i="46"/>
  <c r="G63" i="46"/>
  <c r="D373" i="46"/>
  <c r="D442" i="46"/>
  <c r="D439" i="46" s="1"/>
  <c r="D425" i="46" s="1"/>
  <c r="G442" i="46"/>
  <c r="G439" i="46" s="1"/>
  <c r="G68" i="46"/>
  <c r="I37" i="47"/>
  <c r="H353" i="46"/>
  <c r="H359" i="46"/>
  <c r="G358" i="46"/>
  <c r="H246" i="46"/>
  <c r="I247" i="46"/>
  <c r="H450" i="46"/>
  <c r="J450" i="46" s="1"/>
  <c r="D14" i="46"/>
  <c r="D335" i="46"/>
  <c r="H368" i="46"/>
  <c r="H440" i="46"/>
  <c r="H419" i="46"/>
  <c r="J419" i="46" s="1"/>
  <c r="I420" i="46"/>
  <c r="H361" i="46"/>
  <c r="H446" i="46"/>
  <c r="H258" i="49" l="1"/>
  <c r="E258" i="52"/>
  <c r="G258" i="52" s="1"/>
  <c r="G256" i="54"/>
  <c r="H256" i="54" s="1"/>
  <c r="E256" i="52"/>
  <c r="G256" i="52" s="1"/>
  <c r="H256" i="52" s="1"/>
  <c r="E255" i="52"/>
  <c r="G255" i="52" s="1"/>
  <c r="H255" i="52" s="1"/>
  <c r="G248" i="52"/>
  <c r="H358" i="46"/>
  <c r="J358" i="46" s="1"/>
  <c r="G107" i="46"/>
  <c r="G19" i="47" s="1"/>
  <c r="E321" i="49"/>
  <c r="G322" i="49"/>
  <c r="H252" i="49"/>
  <c r="H250" i="49"/>
  <c r="H251" i="49"/>
  <c r="I446" i="46"/>
  <c r="J446" i="46"/>
  <c r="G425" i="46"/>
  <c r="G30" i="47"/>
  <c r="H323" i="49"/>
  <c r="H253" i="49"/>
  <c r="G247" i="49"/>
  <c r="H247" i="49" s="1"/>
  <c r="H248" i="49"/>
  <c r="D303" i="46"/>
  <c r="D233" i="46" s="1"/>
  <c r="D232" i="46" s="1"/>
  <c r="D231" i="46" s="1"/>
  <c r="I246" i="46"/>
  <c r="J246" i="46"/>
  <c r="G33" i="48"/>
  <c r="H33" i="48" s="1"/>
  <c r="F32" i="48"/>
  <c r="H256" i="49"/>
  <c r="H254" i="49"/>
  <c r="H255" i="49"/>
  <c r="H249" i="49"/>
  <c r="I329" i="46"/>
  <c r="J329" i="46"/>
  <c r="G14" i="46"/>
  <c r="D11" i="47"/>
  <c r="G22" i="47"/>
  <c r="I451" i="46"/>
  <c r="D62" i="46"/>
  <c r="D107" i="46"/>
  <c r="D12" i="46" s="1"/>
  <c r="G62" i="46"/>
  <c r="H418" i="46"/>
  <c r="I419" i="46"/>
  <c r="G303" i="46"/>
  <c r="G233" i="46" s="1"/>
  <c r="G232" i="46" s="1"/>
  <c r="I450" i="46"/>
  <c r="H449" i="46"/>
  <c r="E247" i="52" l="1"/>
  <c r="G255" i="54"/>
  <c r="E247" i="54"/>
  <c r="G247" i="52"/>
  <c r="H248" i="52"/>
  <c r="G12" i="46"/>
  <c r="I449" i="46"/>
  <c r="J449" i="46"/>
  <c r="I418" i="46"/>
  <c r="J418" i="46"/>
  <c r="H322" i="49"/>
  <c r="G321" i="49"/>
  <c r="G32" i="48"/>
  <c r="F31" i="48"/>
  <c r="F36" i="48" s="1"/>
  <c r="G231" i="46"/>
  <c r="D11" i="46"/>
  <c r="D127" i="44"/>
  <c r="D126" i="44" s="1"/>
  <c r="D125" i="44" s="1"/>
  <c r="F126" i="44"/>
  <c r="F125" i="44" s="1"/>
  <c r="F389" i="44"/>
  <c r="D389" i="44"/>
  <c r="H255" i="54" l="1"/>
  <c r="G247" i="54"/>
  <c r="H247" i="52"/>
  <c r="G11" i="46"/>
  <c r="G469" i="46" s="1"/>
  <c r="D469" i="46"/>
  <c r="G31" i="48"/>
  <c r="H31" i="48" s="1"/>
  <c r="H32" i="48"/>
  <c r="H321" i="49"/>
  <c r="F42" i="48"/>
  <c r="H42" i="48" s="1"/>
  <c r="F21" i="38"/>
  <c r="H247" i="54" l="1"/>
  <c r="F21" i="40"/>
  <c r="G329" i="42" l="1"/>
  <c r="F307" i="42"/>
  <c r="G307" i="42" s="1"/>
  <c r="H307" i="42" l="1"/>
  <c r="F333" i="46"/>
  <c r="E330" i="44"/>
  <c r="G330" i="44" s="1"/>
  <c r="F24" i="43"/>
  <c r="G132" i="40"/>
  <c r="F127" i="40"/>
  <c r="F126" i="40" s="1"/>
  <c r="F125" i="40" s="1"/>
  <c r="E132" i="42"/>
  <c r="G132" i="42" s="1"/>
  <c r="F127" i="42"/>
  <c r="F126" i="42" s="1"/>
  <c r="D127" i="42"/>
  <c r="D126" i="42" s="1"/>
  <c r="D125" i="42" s="1"/>
  <c r="D127" i="40"/>
  <c r="D126" i="40" s="1"/>
  <c r="D125" i="40" s="1"/>
  <c r="H333" i="46" l="1"/>
  <c r="F332" i="46"/>
  <c r="E132" i="44"/>
  <c r="G132" i="44" s="1"/>
  <c r="F135" i="46" s="1"/>
  <c r="H135" i="46" s="1"/>
  <c r="E136" i="49" l="1"/>
  <c r="G136" i="49" s="1"/>
  <c r="E136" i="52" s="1"/>
  <c r="G136" i="52" s="1"/>
  <c r="J135" i="46"/>
  <c r="E325" i="49"/>
  <c r="E324" i="49" s="1"/>
  <c r="J333" i="46"/>
  <c r="H332" i="46"/>
  <c r="I333" i="46"/>
  <c r="E307" i="44"/>
  <c r="G307" i="44" s="1"/>
  <c r="F40" i="45"/>
  <c r="F39" i="45"/>
  <c r="F38" i="45"/>
  <c r="H38" i="45" s="1"/>
  <c r="F37" i="45"/>
  <c r="H37" i="45" s="1"/>
  <c r="F36" i="45"/>
  <c r="H34" i="45"/>
  <c r="G34" i="45"/>
  <c r="D32" i="45"/>
  <c r="D31" i="45"/>
  <c r="D30" i="45" s="1"/>
  <c r="E30" i="45"/>
  <c r="D27" i="45"/>
  <c r="D14" i="45"/>
  <c r="D12" i="45" s="1"/>
  <c r="F468" i="44"/>
  <c r="I468" i="44" s="1"/>
  <c r="D468" i="44"/>
  <c r="F467" i="44"/>
  <c r="D467" i="44"/>
  <c r="F466" i="44"/>
  <c r="D466" i="44"/>
  <c r="F465" i="44"/>
  <c r="D465" i="44"/>
  <c r="F464" i="44"/>
  <c r="D464" i="44"/>
  <c r="F463" i="44"/>
  <c r="I463" i="44" s="1"/>
  <c r="D463" i="44"/>
  <c r="F462" i="44"/>
  <c r="I462" i="44" s="1"/>
  <c r="D462" i="44"/>
  <c r="F461" i="44"/>
  <c r="I461" i="44" s="1"/>
  <c r="D461" i="44"/>
  <c r="I460" i="44"/>
  <c r="H457" i="44"/>
  <c r="G456" i="44"/>
  <c r="F456" i="44"/>
  <c r="D456" i="44"/>
  <c r="H451" i="44"/>
  <c r="H446" i="44"/>
  <c r="H445" i="44"/>
  <c r="H444" i="44"/>
  <c r="G443" i="44"/>
  <c r="H443" i="44" s="1"/>
  <c r="F442" i="44"/>
  <c r="D442" i="44"/>
  <c r="G438" i="44"/>
  <c r="H438" i="44" s="1"/>
  <c r="G437" i="44"/>
  <c r="H437" i="44" s="1"/>
  <c r="F436" i="44"/>
  <c r="D436" i="44"/>
  <c r="G435" i="44"/>
  <c r="H435" i="44" s="1"/>
  <c r="F433" i="44"/>
  <c r="D433" i="44"/>
  <c r="G431" i="44"/>
  <c r="F430" i="44"/>
  <c r="D430" i="44"/>
  <c r="F417" i="44"/>
  <c r="F416" i="44" s="1"/>
  <c r="F28" i="45" s="1"/>
  <c r="D417" i="44"/>
  <c r="D416" i="44" s="1"/>
  <c r="F412" i="44"/>
  <c r="D412" i="44"/>
  <c r="F409" i="44"/>
  <c r="D409" i="44"/>
  <c r="F406" i="44"/>
  <c r="D406" i="44"/>
  <c r="F403" i="44"/>
  <c r="D403" i="44"/>
  <c r="F400" i="44"/>
  <c r="D400" i="44"/>
  <c r="F397" i="44"/>
  <c r="D397" i="44"/>
  <c r="G396" i="44"/>
  <c r="F386" i="44"/>
  <c r="D386" i="44"/>
  <c r="F383" i="44"/>
  <c r="D383" i="44"/>
  <c r="F380" i="44"/>
  <c r="D380" i="44"/>
  <c r="F377" i="44"/>
  <c r="D377" i="44"/>
  <c r="F374" i="44"/>
  <c r="D374" i="44"/>
  <c r="F371" i="44"/>
  <c r="D371" i="44"/>
  <c r="G368" i="44"/>
  <c r="F367" i="44"/>
  <c r="D367" i="44"/>
  <c r="G367" i="44" s="1"/>
  <c r="G366" i="44"/>
  <c r="F365" i="44"/>
  <c r="D365" i="44"/>
  <c r="G364" i="44"/>
  <c r="F363" i="44"/>
  <c r="D363" i="44"/>
  <c r="G362" i="44"/>
  <c r="G361" i="44"/>
  <c r="F360" i="44"/>
  <c r="D360" i="44"/>
  <c r="G359" i="44"/>
  <c r="F358" i="44"/>
  <c r="D358" i="44"/>
  <c r="G357" i="44"/>
  <c r="F356" i="44"/>
  <c r="D356" i="44"/>
  <c r="G353" i="44"/>
  <c r="G352" i="44" s="1"/>
  <c r="F352" i="44"/>
  <c r="D352" i="44"/>
  <c r="G351" i="44"/>
  <c r="H351" i="44" s="1"/>
  <c r="F350" i="44"/>
  <c r="E350" i="44"/>
  <c r="D350" i="44"/>
  <c r="G349" i="44"/>
  <c r="H349" i="44" s="1"/>
  <c r="F348" i="44"/>
  <c r="D348" i="44"/>
  <c r="G347" i="44"/>
  <c r="G346" i="44" s="1"/>
  <c r="F346" i="44"/>
  <c r="D346" i="44"/>
  <c r="G345" i="44"/>
  <c r="G344" i="44" s="1"/>
  <c r="F344" i="44"/>
  <c r="D344" i="44"/>
  <c r="G343" i="44"/>
  <c r="F342" i="44"/>
  <c r="D342" i="44"/>
  <c r="G340" i="44"/>
  <c r="G338" i="44"/>
  <c r="G337" i="44"/>
  <c r="G336" i="44"/>
  <c r="G335" i="44"/>
  <c r="G334" i="44"/>
  <c r="H334" i="44" s="1"/>
  <c r="E333" i="44"/>
  <c r="D333" i="44"/>
  <c r="H330" i="44"/>
  <c r="G329" i="44"/>
  <c r="F329" i="44"/>
  <c r="E329" i="44"/>
  <c r="D329" i="44"/>
  <c r="G328" i="44"/>
  <c r="H328" i="44" s="1"/>
  <c r="G327" i="44"/>
  <c r="F326" i="44"/>
  <c r="E326" i="44"/>
  <c r="D326" i="44"/>
  <c r="G325" i="44"/>
  <c r="H325" i="44" s="1"/>
  <c r="F324" i="44"/>
  <c r="G324" i="44" s="1"/>
  <c r="D324" i="44"/>
  <c r="G323" i="44"/>
  <c r="F326" i="46" s="1"/>
  <c r="E322" i="44"/>
  <c r="D322" i="44"/>
  <c r="D320" i="44"/>
  <c r="G319" i="44"/>
  <c r="G318" i="44"/>
  <c r="D318" i="44"/>
  <c r="G317" i="44"/>
  <c r="G316" i="44"/>
  <c r="D316" i="44"/>
  <c r="F303" i="44"/>
  <c r="D303" i="44"/>
  <c r="F295" i="44"/>
  <c r="F293" i="44" s="1"/>
  <c r="D295" i="44"/>
  <c r="G291" i="44"/>
  <c r="G290" i="44" s="1"/>
  <c r="F290" i="44"/>
  <c r="D290" i="44"/>
  <c r="F287" i="44"/>
  <c r="D287" i="44"/>
  <c r="G284" i="44"/>
  <c r="F281" i="44"/>
  <c r="F277" i="44"/>
  <c r="D277" i="44"/>
  <c r="F273" i="44"/>
  <c r="F269" i="44"/>
  <c r="F265" i="44"/>
  <c r="G261" i="44"/>
  <c r="H261" i="44" s="1"/>
  <c r="G260" i="44"/>
  <c r="H260" i="44" s="1"/>
  <c r="G259" i="44"/>
  <c r="H259" i="44" s="1"/>
  <c r="G258" i="44"/>
  <c r="H258" i="44" s="1"/>
  <c r="G257" i="44"/>
  <c r="H257" i="44" s="1"/>
  <c r="G256" i="44"/>
  <c r="H256" i="44" s="1"/>
  <c r="G255" i="44"/>
  <c r="H255" i="44" s="1"/>
  <c r="G254" i="44"/>
  <c r="H254" i="44" s="1"/>
  <c r="G253" i="44"/>
  <c r="H253" i="44" s="1"/>
  <c r="G252" i="44"/>
  <c r="H252" i="44" s="1"/>
  <c r="G251" i="44"/>
  <c r="H251" i="44" s="1"/>
  <c r="G250" i="44"/>
  <c r="H250" i="44" s="1"/>
  <c r="G249" i="44"/>
  <c r="H249" i="44" s="1"/>
  <c r="G248" i="44"/>
  <c r="H248" i="44" s="1"/>
  <c r="G247" i="44"/>
  <c r="H247" i="44" s="1"/>
  <c r="G246" i="44"/>
  <c r="H246" i="44" s="1"/>
  <c r="G245" i="44"/>
  <c r="H245" i="44" s="1"/>
  <c r="G244" i="44"/>
  <c r="F243" i="44"/>
  <c r="E243" i="44"/>
  <c r="D243" i="44"/>
  <c r="D232" i="44" s="1"/>
  <c r="F233" i="44"/>
  <c r="F223" i="44"/>
  <c r="F222" i="44" s="1"/>
  <c r="D223" i="44"/>
  <c r="D222" i="44" s="1"/>
  <c r="F219" i="44"/>
  <c r="F218" i="44" s="1"/>
  <c r="F217" i="44" s="1"/>
  <c r="F216" i="44" s="1"/>
  <c r="D219" i="44"/>
  <c r="D218" i="44" s="1"/>
  <c r="D217" i="44" s="1"/>
  <c r="D216" i="44" s="1"/>
  <c r="F204" i="44"/>
  <c r="F203" i="44" s="1"/>
  <c r="F202" i="44" s="1"/>
  <c r="D204" i="44"/>
  <c r="D203" i="44" s="1"/>
  <c r="D202" i="44" s="1"/>
  <c r="F198" i="44"/>
  <c r="D198" i="44"/>
  <c r="F194" i="44"/>
  <c r="D194" i="44"/>
  <c r="F191" i="44"/>
  <c r="D191" i="44"/>
  <c r="F188" i="44"/>
  <c r="D188" i="44"/>
  <c r="F185" i="44"/>
  <c r="D185" i="44"/>
  <c r="F181" i="44"/>
  <c r="D181" i="44"/>
  <c r="F178" i="44"/>
  <c r="D178" i="44"/>
  <c r="F172" i="44"/>
  <c r="D172" i="44"/>
  <c r="F165" i="44"/>
  <c r="D165" i="44"/>
  <c r="D164" i="44" s="1"/>
  <c r="D163" i="44" s="1"/>
  <c r="D162" i="44" s="1"/>
  <c r="F159" i="44"/>
  <c r="D159" i="44"/>
  <c r="F156" i="44"/>
  <c r="D156" i="44"/>
  <c r="H153" i="44"/>
  <c r="E153" i="44"/>
  <c r="G151" i="44"/>
  <c r="H151" i="44" s="1"/>
  <c r="F140" i="44"/>
  <c r="D140" i="44"/>
  <c r="F135" i="44"/>
  <c r="F134" i="44" s="1"/>
  <c r="D135" i="44"/>
  <c r="D134" i="44" s="1"/>
  <c r="F121" i="44"/>
  <c r="D121" i="44"/>
  <c r="F118" i="44"/>
  <c r="F117" i="44" s="1"/>
  <c r="D118" i="44"/>
  <c r="D117" i="44" s="1"/>
  <c r="F114" i="44"/>
  <c r="D114" i="44"/>
  <c r="F111" i="44"/>
  <c r="D111" i="44"/>
  <c r="F108" i="44"/>
  <c r="F106" i="44" s="1"/>
  <c r="D108" i="44"/>
  <c r="D106" i="44" s="1"/>
  <c r="F99" i="44"/>
  <c r="F98" i="44" s="1"/>
  <c r="F18" i="45" s="1"/>
  <c r="D99" i="44"/>
  <c r="D98" i="44" s="1"/>
  <c r="F95" i="44"/>
  <c r="F94" i="44" s="1"/>
  <c r="F93" i="44" s="1"/>
  <c r="D95" i="44"/>
  <c r="D94" i="44" s="1"/>
  <c r="D93" i="44" s="1"/>
  <c r="F90" i="44"/>
  <c r="D90" i="44"/>
  <c r="F89" i="44"/>
  <c r="F88" i="44" s="1"/>
  <c r="D89" i="44"/>
  <c r="D88" i="44" s="1"/>
  <c r="F85" i="44"/>
  <c r="D85" i="44"/>
  <c r="F83" i="44"/>
  <c r="D83" i="44"/>
  <c r="F78" i="44"/>
  <c r="F77" i="44" s="1"/>
  <c r="F76" i="44" s="1"/>
  <c r="D78" i="44"/>
  <c r="D77" i="44" s="1"/>
  <c r="D76" i="44" s="1"/>
  <c r="F73" i="44"/>
  <c r="F72" i="44" s="1"/>
  <c r="D73" i="44"/>
  <c r="D72" i="44" s="1"/>
  <c r="F70" i="44"/>
  <c r="D70" i="44"/>
  <c r="F68" i="44"/>
  <c r="D68" i="44"/>
  <c r="F66" i="44"/>
  <c r="D66" i="44"/>
  <c r="F63" i="44"/>
  <c r="D63" i="44"/>
  <c r="F61" i="44"/>
  <c r="D61" i="44"/>
  <c r="F56" i="44"/>
  <c r="F55" i="44" s="1"/>
  <c r="D56" i="44"/>
  <c r="D55" i="44"/>
  <c r="D54" i="44" s="1"/>
  <c r="F51" i="44"/>
  <c r="F50" i="44" s="1"/>
  <c r="F49" i="44" s="1"/>
  <c r="D51" i="44"/>
  <c r="D50" i="44" s="1"/>
  <c r="D49" i="44" s="1"/>
  <c r="F43" i="44"/>
  <c r="F42" i="44" s="1"/>
  <c r="D43" i="44"/>
  <c r="D42" i="44" s="1"/>
  <c r="D41" i="44" s="1"/>
  <c r="D40" i="44" s="1"/>
  <c r="F37" i="44"/>
  <c r="D37" i="44"/>
  <c r="D31" i="44"/>
  <c r="F16" i="44"/>
  <c r="D16" i="44"/>
  <c r="F13" i="44"/>
  <c r="F13" i="45" s="1"/>
  <c r="D13" i="44"/>
  <c r="F54" i="44" l="1"/>
  <c r="F15" i="45"/>
  <c r="H336" i="44"/>
  <c r="F339" i="46"/>
  <c r="H339" i="46" s="1"/>
  <c r="H338" i="44"/>
  <c r="F341" i="46"/>
  <c r="H341" i="46" s="1"/>
  <c r="H340" i="44"/>
  <c r="F343" i="46"/>
  <c r="H343" i="46" s="1"/>
  <c r="H337" i="44"/>
  <c r="F340" i="46"/>
  <c r="H340" i="46" s="1"/>
  <c r="F332" i="44"/>
  <c r="H307" i="44"/>
  <c r="F310" i="46"/>
  <c r="H310" i="46" s="1"/>
  <c r="H326" i="46"/>
  <c r="F325" i="46"/>
  <c r="E311" i="49"/>
  <c r="G311" i="49" s="1"/>
  <c r="H311" i="49" s="1"/>
  <c r="F319" i="46"/>
  <c r="H319" i="46" s="1"/>
  <c r="H317" i="44"/>
  <c r="E312" i="49"/>
  <c r="G312" i="49" s="1"/>
  <c r="H312" i="49" s="1"/>
  <c r="F320" i="46"/>
  <c r="H320" i="46" s="1"/>
  <c r="E313" i="49"/>
  <c r="G313" i="49" s="1"/>
  <c r="H313" i="49" s="1"/>
  <c r="F321" i="46"/>
  <c r="H321" i="46" s="1"/>
  <c r="H319" i="44"/>
  <c r="E314" i="49"/>
  <c r="G314" i="49" s="1"/>
  <c r="H314" i="49" s="1"/>
  <c r="F322" i="46"/>
  <c r="H322" i="46" s="1"/>
  <c r="G325" i="49"/>
  <c r="E325" i="52" s="1"/>
  <c r="I332" i="46"/>
  <c r="J332" i="46"/>
  <c r="H335" i="44"/>
  <c r="F338" i="46"/>
  <c r="H316" i="44"/>
  <c r="H324" i="44"/>
  <c r="D60" i="44"/>
  <c r="D65" i="44"/>
  <c r="D59" i="44" s="1"/>
  <c r="G322" i="44"/>
  <c r="H322" i="44" s="1"/>
  <c r="H323" i="44"/>
  <c r="D432" i="44"/>
  <c r="D429" i="44" s="1"/>
  <c r="D415" i="44" s="1"/>
  <c r="H318" i="44"/>
  <c r="D155" i="44"/>
  <c r="D370" i="44"/>
  <c r="F432" i="44"/>
  <c r="F429" i="44" s="1"/>
  <c r="D30" i="44"/>
  <c r="D29" i="44" s="1"/>
  <c r="F82" i="44"/>
  <c r="F81" i="44" s="1"/>
  <c r="G348" i="44"/>
  <c r="H348" i="44" s="1"/>
  <c r="G442" i="44"/>
  <c r="H456" i="44"/>
  <c r="G358" i="44"/>
  <c r="G436" i="44"/>
  <c r="F155" i="44"/>
  <c r="H344" i="44"/>
  <c r="D332" i="44"/>
  <c r="D441" i="44"/>
  <c r="D440" i="44" s="1"/>
  <c r="D439" i="44" s="1"/>
  <c r="D82" i="44"/>
  <c r="D81" i="44" s="1"/>
  <c r="G363" i="44"/>
  <c r="F65" i="44"/>
  <c r="F16" i="45" s="1"/>
  <c r="F285" i="44"/>
  <c r="F23" i="45" s="1"/>
  <c r="H329" i="44"/>
  <c r="H345" i="44"/>
  <c r="H347" i="44"/>
  <c r="G365" i="44"/>
  <c r="F441" i="44"/>
  <c r="F440" i="44" s="1"/>
  <c r="F439" i="44" s="1"/>
  <c r="D302" i="44"/>
  <c r="H346" i="44"/>
  <c r="D355" i="44"/>
  <c r="H436" i="44"/>
  <c r="F31" i="44"/>
  <c r="F30" i="44" s="1"/>
  <c r="F60" i="44"/>
  <c r="H353" i="44"/>
  <c r="H36" i="45"/>
  <c r="D104" i="44"/>
  <c r="H327" i="44"/>
  <c r="G326" i="44"/>
  <c r="H326" i="44" s="1"/>
  <c r="F164" i="44"/>
  <c r="F163" i="44" s="1"/>
  <c r="F162" i="44" s="1"/>
  <c r="G342" i="44"/>
  <c r="H342" i="44" s="1"/>
  <c r="H343" i="44"/>
  <c r="G350" i="44"/>
  <c r="H350" i="44" s="1"/>
  <c r="H352" i="44"/>
  <c r="G356" i="44"/>
  <c r="F355" i="44"/>
  <c r="F300" i="44" s="1"/>
  <c r="F25" i="45" s="1"/>
  <c r="F370" i="44"/>
  <c r="F26" i="45" s="1"/>
  <c r="G430" i="44"/>
  <c r="G243" i="44"/>
  <c r="H243" i="44" s="1"/>
  <c r="H244" i="44"/>
  <c r="G333" i="44"/>
  <c r="D231" i="44"/>
  <c r="G360" i="44"/>
  <c r="D300" i="44" l="1"/>
  <c r="G325" i="52"/>
  <c r="E324" i="52"/>
  <c r="E332" i="49"/>
  <c r="G332" i="49" s="1"/>
  <c r="H332" i="49" s="1"/>
  <c r="E333" i="49"/>
  <c r="G333" i="49" s="1"/>
  <c r="H333" i="49" s="1"/>
  <c r="E335" i="49"/>
  <c r="G335" i="49" s="1"/>
  <c r="H335" i="49" s="1"/>
  <c r="E331" i="49"/>
  <c r="G331" i="49" s="1"/>
  <c r="H331" i="49" s="1"/>
  <c r="J326" i="46"/>
  <c r="H325" i="46"/>
  <c r="I326" i="46"/>
  <c r="E318" i="49"/>
  <c r="E302" i="49"/>
  <c r="G302" i="49" s="1"/>
  <c r="E302" i="52" s="1"/>
  <c r="G302" i="52" s="1"/>
  <c r="H302" i="52" s="1"/>
  <c r="J310" i="46"/>
  <c r="I310" i="46"/>
  <c r="J319" i="46"/>
  <c r="I319" i="46"/>
  <c r="I320" i="46"/>
  <c r="J320" i="46"/>
  <c r="I321" i="46"/>
  <c r="J321" i="46"/>
  <c r="I322" i="46"/>
  <c r="J322" i="46"/>
  <c r="H325" i="49"/>
  <c r="G324" i="49"/>
  <c r="H324" i="49" s="1"/>
  <c r="F336" i="46"/>
  <c r="F335" i="46" s="1"/>
  <c r="H338" i="46"/>
  <c r="F22" i="45"/>
  <c r="F21" i="45" s="1"/>
  <c r="F230" i="44"/>
  <c r="F229" i="44" s="1"/>
  <c r="D14" i="44"/>
  <c r="D25" i="45"/>
  <c r="D22" i="45" s="1"/>
  <c r="D21" i="45" s="1"/>
  <c r="D20" i="45" s="1"/>
  <c r="D35" i="45" s="1"/>
  <c r="F104" i="44"/>
  <c r="F19" i="45" s="1"/>
  <c r="F29" i="44"/>
  <c r="F14" i="44" s="1"/>
  <c r="F415" i="44"/>
  <c r="F29" i="45"/>
  <c r="H442" i="44"/>
  <c r="G441" i="44"/>
  <c r="D12" i="44"/>
  <c r="G355" i="44"/>
  <c r="F59" i="44"/>
  <c r="H333" i="44"/>
  <c r="G332" i="44"/>
  <c r="H332" i="44" s="1"/>
  <c r="H325" i="52" l="1"/>
  <c r="G324" i="52"/>
  <c r="H324" i="52" s="1"/>
  <c r="E317" i="49"/>
  <c r="G318" i="49"/>
  <c r="E318" i="52" s="1"/>
  <c r="I325" i="46"/>
  <c r="J325" i="46"/>
  <c r="H302" i="49"/>
  <c r="E330" i="49"/>
  <c r="G330" i="49" s="1"/>
  <c r="H336" i="46"/>
  <c r="J336" i="46" s="1"/>
  <c r="D230" i="44"/>
  <c r="D229" i="44" s="1"/>
  <c r="D228" i="44" s="1"/>
  <c r="D11" i="44" s="1"/>
  <c r="D459" i="44" s="1"/>
  <c r="D11" i="45"/>
  <c r="D41" i="45"/>
  <c r="F12" i="44"/>
  <c r="F228" i="44"/>
  <c r="G440" i="44"/>
  <c r="H441" i="44"/>
  <c r="E317" i="52" l="1"/>
  <c r="G318" i="52"/>
  <c r="H318" i="49"/>
  <c r="G317" i="49"/>
  <c r="H317" i="49" s="1"/>
  <c r="E328" i="49"/>
  <c r="E327" i="49" s="1"/>
  <c r="H330" i="49"/>
  <c r="G328" i="49"/>
  <c r="H335" i="46"/>
  <c r="I336" i="46"/>
  <c r="F11" i="44"/>
  <c r="F459" i="44" s="1"/>
  <c r="G439" i="44"/>
  <c r="H439" i="44" s="1"/>
  <c r="H440" i="44"/>
  <c r="H318" i="52" l="1"/>
  <c r="G317" i="52"/>
  <c r="H317" i="52" s="1"/>
  <c r="I335" i="46"/>
  <c r="J335" i="46"/>
  <c r="H328" i="49"/>
  <c r="G327" i="49"/>
  <c r="H327" i="49" s="1"/>
  <c r="F79" i="40"/>
  <c r="F99" i="42" l="1"/>
  <c r="F98" i="42" s="1"/>
  <c r="F18" i="43" s="1"/>
  <c r="F416" i="42"/>
  <c r="F415" i="42" s="1"/>
  <c r="F28" i="43" l="1"/>
  <c r="F113" i="36"/>
  <c r="F276" i="40" l="1"/>
  <c r="F272" i="40"/>
  <c r="F421" i="40" l="1"/>
  <c r="F420" i="40" s="1"/>
  <c r="D421" i="40"/>
  <c r="F21" i="34" l="1"/>
  <c r="F44" i="40" l="1"/>
  <c r="F99" i="40" l="1"/>
  <c r="F98" i="40" s="1"/>
  <c r="F437" i="40"/>
  <c r="F436" i="40" s="1"/>
  <c r="F433" i="38"/>
  <c r="F370" i="42" l="1"/>
  <c r="F40" i="43"/>
  <c r="F39" i="43"/>
  <c r="H38" i="43"/>
  <c r="F38" i="43"/>
  <c r="F37" i="43"/>
  <c r="H37" i="43" s="1"/>
  <c r="F36" i="43"/>
  <c r="H36" i="43" s="1"/>
  <c r="G34" i="43"/>
  <c r="H34" i="43" s="1"/>
  <c r="D32" i="43"/>
  <c r="D31" i="43" s="1"/>
  <c r="D30" i="43" s="1"/>
  <c r="E30" i="43"/>
  <c r="D27" i="43"/>
  <c r="D22" i="43"/>
  <c r="D21" i="43" s="1"/>
  <c r="D14" i="43"/>
  <c r="D12" i="43" s="1"/>
  <c r="D20" i="43" l="1"/>
  <c r="D35" i="43" s="1"/>
  <c r="F24" i="41"/>
  <c r="F409" i="40"/>
  <c r="F368" i="40"/>
  <c r="E363" i="38"/>
  <c r="D11" i="43" l="1"/>
  <c r="D41" i="43"/>
  <c r="F77" i="38"/>
  <c r="F24" i="39" l="1"/>
  <c r="F65" i="38" l="1"/>
  <c r="F467" i="42" l="1"/>
  <c r="I467" i="42" s="1"/>
  <c r="D467" i="42"/>
  <c r="F466" i="42"/>
  <c r="D466" i="42"/>
  <c r="F465" i="42"/>
  <c r="D465" i="42"/>
  <c r="F464" i="42"/>
  <c r="D464" i="42"/>
  <c r="F463" i="42"/>
  <c r="D463" i="42"/>
  <c r="F462" i="42"/>
  <c r="I462" i="42" s="1"/>
  <c r="D462" i="42"/>
  <c r="F461" i="42"/>
  <c r="I461" i="42" s="1"/>
  <c r="D461" i="42"/>
  <c r="F460" i="42"/>
  <c r="I460" i="42" s="1"/>
  <c r="D460" i="42"/>
  <c r="I459" i="42"/>
  <c r="H456" i="42"/>
  <c r="G455" i="42"/>
  <c r="F455" i="42"/>
  <c r="D455" i="42"/>
  <c r="H450" i="42"/>
  <c r="H445" i="42"/>
  <c r="H444" i="42"/>
  <c r="H443" i="42"/>
  <c r="G442" i="42"/>
  <c r="F441" i="42"/>
  <c r="F440" i="42" s="1"/>
  <c r="F439" i="42" s="1"/>
  <c r="F438" i="42" s="1"/>
  <c r="D441" i="42"/>
  <c r="G437" i="42"/>
  <c r="H437" i="42" s="1"/>
  <c r="G436" i="42"/>
  <c r="H436" i="42" s="1"/>
  <c r="F435" i="42"/>
  <c r="G435" i="42" s="1"/>
  <c r="H435" i="42" s="1"/>
  <c r="D435" i="42"/>
  <c r="G434" i="42"/>
  <c r="H434" i="42" s="1"/>
  <c r="F432" i="42"/>
  <c r="D432" i="42"/>
  <c r="G430" i="42"/>
  <c r="F429" i="42"/>
  <c r="D429" i="42"/>
  <c r="D416" i="42"/>
  <c r="D415" i="42"/>
  <c r="F411" i="42"/>
  <c r="D411" i="42"/>
  <c r="F408" i="42"/>
  <c r="D408" i="42"/>
  <c r="F405" i="42"/>
  <c r="D405" i="42"/>
  <c r="F402" i="42"/>
  <c r="D402" i="42"/>
  <c r="F399" i="42"/>
  <c r="D399" i="42"/>
  <c r="F396" i="42"/>
  <c r="D396" i="42"/>
  <c r="G395" i="42"/>
  <c r="F388" i="42"/>
  <c r="D388" i="42"/>
  <c r="F385" i="42"/>
  <c r="D385" i="42"/>
  <c r="F382" i="42"/>
  <c r="D382" i="42"/>
  <c r="F379" i="42"/>
  <c r="D379" i="42"/>
  <c r="F376" i="42"/>
  <c r="D376" i="42"/>
  <c r="F373" i="42"/>
  <c r="D373" i="42"/>
  <c r="D370" i="42"/>
  <c r="G367" i="42"/>
  <c r="F366" i="42"/>
  <c r="D366" i="42"/>
  <c r="G365" i="42"/>
  <c r="F364" i="42"/>
  <c r="D364" i="42"/>
  <c r="G363" i="42"/>
  <c r="F362" i="42"/>
  <c r="D362" i="42"/>
  <c r="G362" i="42" s="1"/>
  <c r="G361" i="42"/>
  <c r="G360" i="42"/>
  <c r="F359" i="42"/>
  <c r="D359" i="42"/>
  <c r="G358" i="42"/>
  <c r="F357" i="42"/>
  <c r="D357" i="42"/>
  <c r="G356" i="42"/>
  <c r="F355" i="42"/>
  <c r="D355" i="42"/>
  <c r="G352" i="42"/>
  <c r="H352" i="42" s="1"/>
  <c r="F351" i="42"/>
  <c r="D351" i="42"/>
  <c r="D331" i="42" s="1"/>
  <c r="G350" i="42"/>
  <c r="F349" i="42"/>
  <c r="E349" i="42"/>
  <c r="D349" i="42"/>
  <c r="G348" i="42"/>
  <c r="G347" i="42" s="1"/>
  <c r="F347" i="42"/>
  <c r="D347" i="42"/>
  <c r="G346" i="42"/>
  <c r="G345" i="42" s="1"/>
  <c r="F345" i="42"/>
  <c r="D345" i="42"/>
  <c r="G344" i="42"/>
  <c r="H344" i="42" s="1"/>
  <c r="G343" i="42"/>
  <c r="H343" i="42" s="1"/>
  <c r="F343" i="42"/>
  <c r="D343" i="42"/>
  <c r="G342" i="42"/>
  <c r="G341" i="42" s="1"/>
  <c r="F341" i="42"/>
  <c r="D341" i="42"/>
  <c r="G339" i="42"/>
  <c r="H339" i="42" s="1"/>
  <c r="G338" i="42"/>
  <c r="G337" i="42"/>
  <c r="G336" i="42"/>
  <c r="G335" i="42"/>
  <c r="G334" i="42"/>
  <c r="G333" i="42"/>
  <c r="F332" i="42"/>
  <c r="E332" i="42"/>
  <c r="D332" i="42"/>
  <c r="H329" i="42"/>
  <c r="G328" i="42"/>
  <c r="F328" i="42"/>
  <c r="E328" i="42"/>
  <c r="D328" i="42"/>
  <c r="G327" i="42"/>
  <c r="H327" i="42" s="1"/>
  <c r="G326" i="42"/>
  <c r="F325" i="42"/>
  <c r="E325" i="42"/>
  <c r="D325" i="42"/>
  <c r="G324" i="42"/>
  <c r="F323" i="42"/>
  <c r="G323" i="42" s="1"/>
  <c r="D323" i="42"/>
  <c r="G322" i="42"/>
  <c r="F321" i="42"/>
  <c r="E321" i="42"/>
  <c r="D321" i="42"/>
  <c r="G320" i="42"/>
  <c r="G319" i="42"/>
  <c r="H319" i="42" s="1"/>
  <c r="F319" i="42"/>
  <c r="E319" i="42"/>
  <c r="D319" i="42"/>
  <c r="G318" i="42"/>
  <c r="H318" i="42" s="1"/>
  <c r="G317" i="42"/>
  <c r="D317" i="42"/>
  <c r="G316" i="42"/>
  <c r="H316" i="42" s="1"/>
  <c r="G315" i="42"/>
  <c r="D315" i="42"/>
  <c r="G314" i="42"/>
  <c r="H314" i="42" s="1"/>
  <c r="G313" i="42"/>
  <c r="G312" i="42"/>
  <c r="G311" i="42"/>
  <c r="G310" i="42"/>
  <c r="F309" i="42"/>
  <c r="E309" i="42"/>
  <c r="D309" i="42"/>
  <c r="F303" i="42"/>
  <c r="D303" i="42"/>
  <c r="F295" i="42"/>
  <c r="F293" i="42" s="1"/>
  <c r="D295" i="42"/>
  <c r="G291" i="42"/>
  <c r="G290" i="42"/>
  <c r="F290" i="42"/>
  <c r="D290" i="42"/>
  <c r="F287" i="42"/>
  <c r="G287" i="42" s="1"/>
  <c r="D287" i="42"/>
  <c r="G284" i="42"/>
  <c r="F281" i="42"/>
  <c r="F277" i="42"/>
  <c r="D277" i="42"/>
  <c r="F273" i="42"/>
  <c r="F269" i="42"/>
  <c r="F265" i="42"/>
  <c r="G261" i="42"/>
  <c r="H261" i="42" s="1"/>
  <c r="G260" i="42"/>
  <c r="H260" i="42" s="1"/>
  <c r="G259" i="42"/>
  <c r="H259" i="42" s="1"/>
  <c r="G258" i="42"/>
  <c r="H258" i="42" s="1"/>
  <c r="G257" i="42"/>
  <c r="H257" i="42" s="1"/>
  <c r="G256" i="42"/>
  <c r="H256" i="42" s="1"/>
  <c r="G255" i="42"/>
  <c r="H255" i="42" s="1"/>
  <c r="G254" i="42"/>
  <c r="H254" i="42" s="1"/>
  <c r="G253" i="42"/>
  <c r="H253" i="42" s="1"/>
  <c r="G252" i="42"/>
  <c r="H252" i="42" s="1"/>
  <c r="G251" i="42"/>
  <c r="H251" i="42" s="1"/>
  <c r="G250" i="42"/>
  <c r="H250" i="42" s="1"/>
  <c r="G249" i="42"/>
  <c r="H249" i="42" s="1"/>
  <c r="G248" i="42"/>
  <c r="H248" i="42" s="1"/>
  <c r="G247" i="42"/>
  <c r="H247" i="42" s="1"/>
  <c r="G246" i="42"/>
  <c r="H246" i="42" s="1"/>
  <c r="G245" i="42"/>
  <c r="H245" i="42" s="1"/>
  <c r="G244" i="42"/>
  <c r="H244" i="42" s="1"/>
  <c r="F243" i="42"/>
  <c r="E243" i="42"/>
  <c r="D243" i="42"/>
  <c r="D232" i="42" s="1"/>
  <c r="F223" i="42"/>
  <c r="D223" i="42"/>
  <c r="D222" i="42" s="1"/>
  <c r="F222" i="42"/>
  <c r="F219" i="42"/>
  <c r="F218" i="42" s="1"/>
  <c r="F217" i="42" s="1"/>
  <c r="F216" i="42" s="1"/>
  <c r="D219" i="42"/>
  <c r="D218" i="42" s="1"/>
  <c r="D217" i="42" s="1"/>
  <c r="D216" i="42" s="1"/>
  <c r="F204" i="42"/>
  <c r="F203" i="42" s="1"/>
  <c r="F202" i="42" s="1"/>
  <c r="D204" i="42"/>
  <c r="D203" i="42" s="1"/>
  <c r="D202" i="42" s="1"/>
  <c r="F198" i="42"/>
  <c r="D198" i="42"/>
  <c r="F194" i="42"/>
  <c r="D194" i="42"/>
  <c r="F191" i="42"/>
  <c r="D191" i="42"/>
  <c r="F188" i="42"/>
  <c r="D188" i="42"/>
  <c r="F185" i="42"/>
  <c r="D185" i="42"/>
  <c r="F181" i="42"/>
  <c r="D181" i="42"/>
  <c r="F178" i="42"/>
  <c r="D178" i="42"/>
  <c r="F172" i="42"/>
  <c r="D172" i="42"/>
  <c r="F165" i="42"/>
  <c r="D165" i="42"/>
  <c r="F159" i="42"/>
  <c r="D159" i="42"/>
  <c r="F156" i="42"/>
  <c r="D156" i="42"/>
  <c r="D155" i="42" s="1"/>
  <c r="H153" i="42"/>
  <c r="E153" i="42"/>
  <c r="G151" i="42"/>
  <c r="F140" i="42"/>
  <c r="D140" i="42"/>
  <c r="F135" i="42"/>
  <c r="F134" i="42" s="1"/>
  <c r="D135" i="42"/>
  <c r="D134" i="42"/>
  <c r="F125" i="42"/>
  <c r="F121" i="42"/>
  <c r="D121" i="42"/>
  <c r="F118" i="42"/>
  <c r="F117" i="42" s="1"/>
  <c r="D118" i="42"/>
  <c r="D117" i="42"/>
  <c r="F114" i="42"/>
  <c r="D114" i="42"/>
  <c r="F111" i="42"/>
  <c r="D111" i="42"/>
  <c r="F108" i="42"/>
  <c r="F106" i="42" s="1"/>
  <c r="D108" i="42"/>
  <c r="D106" i="42" s="1"/>
  <c r="D99" i="42"/>
  <c r="D98" i="42" s="1"/>
  <c r="F95" i="42"/>
  <c r="F94" i="42" s="1"/>
  <c r="D95" i="42"/>
  <c r="D94" i="42" s="1"/>
  <c r="D93" i="42" s="1"/>
  <c r="F90" i="42"/>
  <c r="D90" i="42"/>
  <c r="F89" i="42"/>
  <c r="F88" i="42" s="1"/>
  <c r="D89" i="42"/>
  <c r="D88" i="42" s="1"/>
  <c r="F85" i="42"/>
  <c r="D85" i="42"/>
  <c r="F83" i="42"/>
  <c r="D83" i="42"/>
  <c r="F78" i="42"/>
  <c r="F77" i="42" s="1"/>
  <c r="D78" i="42"/>
  <c r="D77" i="42" s="1"/>
  <c r="D76" i="42" s="1"/>
  <c r="D73" i="42"/>
  <c r="D72" i="42"/>
  <c r="D70" i="42"/>
  <c r="D68" i="42"/>
  <c r="D66" i="42"/>
  <c r="D63" i="42"/>
  <c r="D61" i="42"/>
  <c r="D56" i="42"/>
  <c r="D55" i="42" s="1"/>
  <c r="D54" i="42" s="1"/>
  <c r="F51" i="42"/>
  <c r="F50" i="42" s="1"/>
  <c r="F49" i="42" s="1"/>
  <c r="D51" i="42"/>
  <c r="D50" i="42" s="1"/>
  <c r="D49" i="42" s="1"/>
  <c r="F43" i="42"/>
  <c r="F42" i="42" s="1"/>
  <c r="F41" i="42" s="1"/>
  <c r="D43" i="42"/>
  <c r="D42" i="42" s="1"/>
  <c r="D41" i="42" s="1"/>
  <c r="D40" i="42" s="1"/>
  <c r="D37" i="42"/>
  <c r="D31" i="42"/>
  <c r="F16" i="42"/>
  <c r="D16" i="42"/>
  <c r="F13" i="42"/>
  <c r="F13" i="43" s="1"/>
  <c r="D13" i="42"/>
  <c r="F279" i="40"/>
  <c r="F275" i="40"/>
  <c r="F271" i="40"/>
  <c r="F267" i="40"/>
  <c r="F263" i="40"/>
  <c r="E243" i="40"/>
  <c r="F243" i="40"/>
  <c r="D243" i="40"/>
  <c r="F233" i="40"/>
  <c r="E153" i="40"/>
  <c r="F135" i="40"/>
  <c r="F134" i="40" s="1"/>
  <c r="F90" i="40"/>
  <c r="F89" i="40"/>
  <c r="F88" i="40" s="1"/>
  <c r="F93" i="42" l="1"/>
  <c r="F15" i="43"/>
  <c r="G351" i="42"/>
  <c r="H351" i="42" s="1"/>
  <c r="D30" i="42"/>
  <c r="D29" i="42" s="1"/>
  <c r="F155" i="42"/>
  <c r="H341" i="42"/>
  <c r="H347" i="42"/>
  <c r="F431" i="42"/>
  <c r="F428" i="42" s="1"/>
  <c r="F82" i="42"/>
  <c r="F81" i="42" s="1"/>
  <c r="H328" i="42"/>
  <c r="F331" i="42"/>
  <c r="H346" i="42"/>
  <c r="G309" i="42"/>
  <c r="H309" i="42" s="1"/>
  <c r="E310" i="44"/>
  <c r="G310" i="44" s="1"/>
  <c r="E312" i="44"/>
  <c r="G312" i="44" s="1"/>
  <c r="F315" i="46" s="1"/>
  <c r="H315" i="46" s="1"/>
  <c r="H151" i="42"/>
  <c r="E151" i="44"/>
  <c r="D302" i="42"/>
  <c r="H310" i="42"/>
  <c r="E313" i="44"/>
  <c r="G313" i="44" s="1"/>
  <c r="H317" i="42"/>
  <c r="D164" i="42"/>
  <c r="D163" i="42" s="1"/>
  <c r="D162" i="42" s="1"/>
  <c r="D104" i="42" s="1"/>
  <c r="H287" i="42"/>
  <c r="E287" i="44"/>
  <c r="G287" i="44" s="1"/>
  <c r="E311" i="44"/>
  <c r="G311" i="44" s="1"/>
  <c r="H313" i="42"/>
  <c r="H315" i="42"/>
  <c r="G332" i="42"/>
  <c r="H332" i="42" s="1"/>
  <c r="H342" i="42"/>
  <c r="H348" i="42"/>
  <c r="G359" i="42"/>
  <c r="D440" i="42"/>
  <c r="D439" i="42" s="1"/>
  <c r="D438" i="42" s="1"/>
  <c r="D60" i="42"/>
  <c r="D65" i="42"/>
  <c r="D14" i="42" s="1"/>
  <c r="H311" i="42"/>
  <c r="E314" i="44"/>
  <c r="G314" i="44" s="1"/>
  <c r="H320" i="42"/>
  <c r="E321" i="44"/>
  <c r="G321" i="42"/>
  <c r="H321" i="42" s="1"/>
  <c r="H322" i="42"/>
  <c r="H345" i="42"/>
  <c r="G357" i="42"/>
  <c r="G366" i="42"/>
  <c r="D431" i="42"/>
  <c r="H455" i="42"/>
  <c r="D82" i="42"/>
  <c r="D81" i="42" s="1"/>
  <c r="F369" i="42"/>
  <c r="F26" i="43" s="1"/>
  <c r="H312" i="42"/>
  <c r="F302" i="42"/>
  <c r="F76" i="42"/>
  <c r="D369" i="42"/>
  <c r="G243" i="42"/>
  <c r="H243" i="42" s="1"/>
  <c r="F164" i="42"/>
  <c r="F163" i="42" s="1"/>
  <c r="F162" i="42" s="1"/>
  <c r="F104" i="42" s="1"/>
  <c r="F19" i="43" s="1"/>
  <c r="G325" i="42"/>
  <c r="H325" i="42" s="1"/>
  <c r="H326" i="42"/>
  <c r="D59" i="42"/>
  <c r="G355" i="42"/>
  <c r="F354" i="42"/>
  <c r="G364" i="42"/>
  <c r="D354" i="42"/>
  <c r="G429" i="42"/>
  <c r="D428" i="42"/>
  <c r="D414" i="42" s="1"/>
  <c r="G349" i="42"/>
  <c r="H350" i="42"/>
  <c r="G441" i="42"/>
  <c r="H442" i="42"/>
  <c r="F285" i="42"/>
  <c r="D300" i="42" l="1"/>
  <c r="D230" i="42" s="1"/>
  <c r="H287" i="44"/>
  <c r="E282" i="49"/>
  <c r="G282" i="49" s="1"/>
  <c r="F290" i="46"/>
  <c r="H290" i="46" s="1"/>
  <c r="I290" i="46" s="1"/>
  <c r="H314" i="44"/>
  <c r="F317" i="46"/>
  <c r="H317" i="46" s="1"/>
  <c r="J317" i="46" s="1"/>
  <c r="H311" i="44"/>
  <c r="F314" i="46"/>
  <c r="H314" i="46" s="1"/>
  <c r="J314" i="46" s="1"/>
  <c r="E307" i="49"/>
  <c r="G307" i="49" s="1"/>
  <c r="E307" i="52" s="1"/>
  <c r="G307" i="52" s="1"/>
  <c r="H307" i="52" s="1"/>
  <c r="J315" i="46"/>
  <c r="E309" i="49"/>
  <c r="G309" i="49" s="1"/>
  <c r="E309" i="52" s="1"/>
  <c r="G309" i="52" s="1"/>
  <c r="H309" i="52" s="1"/>
  <c r="E306" i="49"/>
  <c r="G306" i="49" s="1"/>
  <c r="H310" i="44"/>
  <c r="F313" i="46"/>
  <c r="H313" i="46" s="1"/>
  <c r="I315" i="46"/>
  <c r="H313" i="44"/>
  <c r="F316" i="46"/>
  <c r="H316" i="46" s="1"/>
  <c r="J316" i="46" s="1"/>
  <c r="F23" i="43"/>
  <c r="F323" i="46"/>
  <c r="G354" i="42"/>
  <c r="G321" i="44"/>
  <c r="F324" i="46" s="1"/>
  <c r="H324" i="46" s="1"/>
  <c r="E320" i="44"/>
  <c r="F29" i="43"/>
  <c r="F414" i="42"/>
  <c r="D12" i="42"/>
  <c r="H312" i="44"/>
  <c r="H309" i="44"/>
  <c r="H349" i="42"/>
  <c r="G331" i="42"/>
  <c r="H331" i="42" s="1"/>
  <c r="H441" i="42"/>
  <c r="G440" i="42"/>
  <c r="F300" i="42"/>
  <c r="E306" i="52" l="1"/>
  <c r="G306" i="52" s="1"/>
  <c r="H306" i="52" s="1"/>
  <c r="H282" i="49"/>
  <c r="E282" i="54"/>
  <c r="G282" i="54" s="1"/>
  <c r="H282" i="54" s="1"/>
  <c r="E282" i="52"/>
  <c r="G282" i="52" s="1"/>
  <c r="H282" i="52" s="1"/>
  <c r="I314" i="46"/>
  <c r="J290" i="46"/>
  <c r="I317" i="46"/>
  <c r="H306" i="49"/>
  <c r="E316" i="49"/>
  <c r="G316" i="49" s="1"/>
  <c r="E316" i="52" s="1"/>
  <c r="J324" i="46"/>
  <c r="H307" i="49"/>
  <c r="E305" i="49"/>
  <c r="J313" i="46"/>
  <c r="H309" i="49"/>
  <c r="I316" i="46"/>
  <c r="E308" i="49"/>
  <c r="G308" i="49" s="1"/>
  <c r="E308" i="52" s="1"/>
  <c r="G308" i="52" s="1"/>
  <c r="H323" i="46"/>
  <c r="I324" i="46"/>
  <c r="G320" i="44"/>
  <c r="H320" i="44" s="1"/>
  <c r="H321" i="44"/>
  <c r="D229" i="42"/>
  <c r="D228" i="42" s="1"/>
  <c r="D11" i="42" s="1"/>
  <c r="D458" i="42" s="1"/>
  <c r="I313" i="46"/>
  <c r="F230" i="42"/>
  <c r="F229" i="42" s="1"/>
  <c r="F25" i="43"/>
  <c r="F22" i="43" s="1"/>
  <c r="F21" i="43" s="1"/>
  <c r="H440" i="42"/>
  <c r="G439" i="42"/>
  <c r="H308" i="52" l="1"/>
  <c r="E308" i="54"/>
  <c r="G308" i="54" s="1"/>
  <c r="E315" i="52"/>
  <c r="G316" i="52"/>
  <c r="E304" i="49"/>
  <c r="G306" i="54"/>
  <c r="H306" i="54" s="1"/>
  <c r="G305" i="49"/>
  <c r="E315" i="49"/>
  <c r="I323" i="46"/>
  <c r="J323" i="46"/>
  <c r="H308" i="49"/>
  <c r="I312" i="46"/>
  <c r="J312" i="46"/>
  <c r="H316" i="49"/>
  <c r="G315" i="49"/>
  <c r="H315" i="49" s="1"/>
  <c r="F228" i="42"/>
  <c r="H439" i="42"/>
  <c r="G438" i="42"/>
  <c r="H438" i="42" s="1"/>
  <c r="H308" i="54" l="1"/>
  <c r="E308" i="57"/>
  <c r="G304" i="49"/>
  <c r="H304" i="49" s="1"/>
  <c r="E305" i="52"/>
  <c r="H316" i="52"/>
  <c r="G315" i="52"/>
  <c r="H315" i="52" s="1"/>
  <c r="H305" i="49"/>
  <c r="F44" i="38"/>
  <c r="G308" i="57" l="1"/>
  <c r="E304" i="57"/>
  <c r="E297" i="57" s="1"/>
  <c r="E295" i="57" s="1"/>
  <c r="G305" i="52"/>
  <c r="E304" i="52"/>
  <c r="G305" i="54"/>
  <c r="E304" i="54"/>
  <c r="E297" i="54" s="1"/>
  <c r="E295" i="54" s="1"/>
  <c r="F230" i="38"/>
  <c r="F260" i="38"/>
  <c r="F112" i="38"/>
  <c r="D112" i="38"/>
  <c r="H308" i="57" l="1"/>
  <c r="G304" i="57"/>
  <c r="H305" i="54"/>
  <c r="G304" i="54"/>
  <c r="H305" i="52"/>
  <c r="G304" i="52"/>
  <c r="H304" i="52" s="1"/>
  <c r="F13" i="40"/>
  <c r="F13" i="41" s="1"/>
  <c r="D13" i="40"/>
  <c r="F13" i="38"/>
  <c r="F13" i="39" s="1"/>
  <c r="D13" i="38"/>
  <c r="F13" i="36"/>
  <c r="D13" i="36"/>
  <c r="F13" i="34"/>
  <c r="D13" i="34"/>
  <c r="E13" i="33"/>
  <c r="F13" i="33"/>
  <c r="D13" i="33"/>
  <c r="H304" i="57" l="1"/>
  <c r="G297" i="57"/>
  <c r="H304" i="54"/>
  <c r="G297" i="54"/>
  <c r="F112" i="36"/>
  <c r="D112" i="36"/>
  <c r="G295" i="57" l="1"/>
  <c r="H295" i="57" s="1"/>
  <c r="H297" i="57"/>
  <c r="G295" i="54"/>
  <c r="H297" i="54"/>
  <c r="F34" i="36"/>
  <c r="H295" i="54" l="1"/>
  <c r="F268" i="38"/>
  <c r="F132" i="38" l="1"/>
  <c r="F131" i="38" s="1"/>
  <c r="F116" i="38"/>
  <c r="F115" i="38" s="1"/>
  <c r="F106" i="38"/>
  <c r="F97" i="38"/>
  <c r="F96" i="38" s="1"/>
  <c r="F18" i="39" s="1"/>
  <c r="F93" i="38"/>
  <c r="F92" i="38" s="1"/>
  <c r="F91" i="38" s="1"/>
  <c r="F87" i="38"/>
  <c r="F86" i="38" s="1"/>
  <c r="F88" i="38"/>
  <c r="F71" i="38"/>
  <c r="F70" i="38" s="1"/>
  <c r="F41" i="41"/>
  <c r="F40" i="41"/>
  <c r="F39" i="41"/>
  <c r="H39" i="41" s="1"/>
  <c r="F38" i="41"/>
  <c r="H38" i="41" s="1"/>
  <c r="F37" i="41"/>
  <c r="G35" i="41"/>
  <c r="H35" i="41" s="1"/>
  <c r="D33" i="41"/>
  <c r="D32" i="41" s="1"/>
  <c r="D31" i="41" s="1"/>
  <c r="E31" i="41"/>
  <c r="D28" i="41"/>
  <c r="D22" i="41"/>
  <c r="D21" i="41" s="1"/>
  <c r="D14" i="41"/>
  <c r="D12" i="41" s="1"/>
  <c r="F472" i="40"/>
  <c r="I472" i="40" s="1"/>
  <c r="D472" i="40"/>
  <c r="F471" i="40"/>
  <c r="D471" i="40"/>
  <c r="F470" i="40"/>
  <c r="D470" i="40"/>
  <c r="F469" i="40"/>
  <c r="D469" i="40"/>
  <c r="F468" i="40"/>
  <c r="D468" i="40"/>
  <c r="F467" i="40"/>
  <c r="I467" i="40" s="1"/>
  <c r="D467" i="40"/>
  <c r="F466" i="40"/>
  <c r="I466" i="40" s="1"/>
  <c r="D466" i="40"/>
  <c r="F465" i="40"/>
  <c r="I465" i="40" s="1"/>
  <c r="D465" i="40"/>
  <c r="I464" i="40"/>
  <c r="H461" i="40"/>
  <c r="G460" i="40"/>
  <c r="F460" i="40"/>
  <c r="D460" i="40"/>
  <c r="H455" i="40"/>
  <c r="H450" i="40"/>
  <c r="H449" i="40"/>
  <c r="H448" i="40"/>
  <c r="G447" i="40"/>
  <c r="F446" i="40"/>
  <c r="F445" i="40" s="1"/>
  <c r="F444" i="40" s="1"/>
  <c r="F443" i="40" s="1"/>
  <c r="D446" i="40"/>
  <c r="G442" i="40"/>
  <c r="H442" i="40" s="1"/>
  <c r="G441" i="40"/>
  <c r="H441" i="40" s="1"/>
  <c r="F440" i="40"/>
  <c r="G440" i="40" s="1"/>
  <c r="D440" i="40"/>
  <c r="G439" i="40"/>
  <c r="H439" i="40" s="1"/>
  <c r="D437" i="40"/>
  <c r="D436" i="40" s="1"/>
  <c r="G435" i="40"/>
  <c r="F434" i="40"/>
  <c r="F433" i="40" s="1"/>
  <c r="D434" i="40"/>
  <c r="G431" i="40"/>
  <c r="F419" i="40"/>
  <c r="D420" i="40"/>
  <c r="G417" i="40"/>
  <c r="G416" i="40"/>
  <c r="G415" i="40"/>
  <c r="G414" i="40"/>
  <c r="H414" i="40" s="1"/>
  <c r="F413" i="40"/>
  <c r="F412" i="40" s="1"/>
  <c r="D413" i="40"/>
  <c r="D412" i="40"/>
  <c r="D409" i="40"/>
  <c r="G407" i="40"/>
  <c r="H407" i="40" s="1"/>
  <c r="F406" i="40"/>
  <c r="D406" i="40"/>
  <c r="G404" i="40"/>
  <c r="F403" i="40"/>
  <c r="D403" i="40"/>
  <c r="G401" i="40"/>
  <c r="F400" i="40"/>
  <c r="D400" i="40"/>
  <c r="G398" i="40"/>
  <c r="F397" i="40"/>
  <c r="D397" i="40"/>
  <c r="G395" i="40"/>
  <c r="F394" i="40"/>
  <c r="D394" i="40"/>
  <c r="G393" i="40"/>
  <c r="G392" i="40"/>
  <c r="G391" i="40"/>
  <c r="E393" i="42" s="1"/>
  <c r="G393" i="42" s="1"/>
  <c r="G390" i="40"/>
  <c r="E392" i="42" s="1"/>
  <c r="G392" i="42" s="1"/>
  <c r="G389" i="40"/>
  <c r="G388" i="40"/>
  <c r="G387" i="40"/>
  <c r="E389" i="42" s="1"/>
  <c r="G389" i="42" s="1"/>
  <c r="F386" i="40"/>
  <c r="D386" i="40"/>
  <c r="F383" i="40"/>
  <c r="D383" i="40"/>
  <c r="G381" i="40"/>
  <c r="E383" i="42" s="1"/>
  <c r="G383" i="42" s="1"/>
  <c r="F380" i="40"/>
  <c r="D380" i="40"/>
  <c r="F377" i="40"/>
  <c r="D377" i="40"/>
  <c r="F374" i="40"/>
  <c r="D374" i="40"/>
  <c r="F371" i="40"/>
  <c r="D371" i="40"/>
  <c r="D368" i="40"/>
  <c r="G365" i="40"/>
  <c r="F364" i="40"/>
  <c r="D364" i="40"/>
  <c r="G363" i="40"/>
  <c r="F362" i="40"/>
  <c r="D362" i="40"/>
  <c r="G361" i="40"/>
  <c r="F360" i="40"/>
  <c r="D360" i="40"/>
  <c r="G359" i="40"/>
  <c r="G358" i="40"/>
  <c r="F357" i="40"/>
  <c r="D357" i="40"/>
  <c r="G356" i="40"/>
  <c r="F355" i="40"/>
  <c r="D355" i="40"/>
  <c r="G354" i="40"/>
  <c r="F353" i="40"/>
  <c r="D353" i="40"/>
  <c r="G350" i="40"/>
  <c r="H350" i="40" s="1"/>
  <c r="F349" i="40"/>
  <c r="D349" i="40"/>
  <c r="G348" i="40"/>
  <c r="F347" i="40"/>
  <c r="E347" i="40"/>
  <c r="D347" i="40"/>
  <c r="G346" i="40"/>
  <c r="G345" i="40" s="1"/>
  <c r="H345" i="40" s="1"/>
  <c r="F345" i="40"/>
  <c r="D345" i="40"/>
  <c r="G344" i="40"/>
  <c r="H344" i="40" s="1"/>
  <c r="F343" i="40"/>
  <c r="D343" i="40"/>
  <c r="G342" i="40"/>
  <c r="G341" i="40" s="1"/>
  <c r="F341" i="40"/>
  <c r="D341" i="40"/>
  <c r="G340" i="40"/>
  <c r="G339" i="40" s="1"/>
  <c r="F339" i="40"/>
  <c r="D339" i="40"/>
  <c r="G337" i="40"/>
  <c r="H337" i="40" s="1"/>
  <c r="G336" i="40"/>
  <c r="G335" i="40"/>
  <c r="G334" i="40"/>
  <c r="G333" i="40"/>
  <c r="G332" i="40"/>
  <c r="G331" i="40"/>
  <c r="F330" i="40"/>
  <c r="E330" i="40"/>
  <c r="D330" i="40"/>
  <c r="H327" i="40"/>
  <c r="G326" i="40"/>
  <c r="F326" i="40"/>
  <c r="E326" i="40"/>
  <c r="D326" i="40"/>
  <c r="G325" i="40"/>
  <c r="H325" i="40" s="1"/>
  <c r="G324" i="40"/>
  <c r="F323" i="40"/>
  <c r="E323" i="40"/>
  <c r="D323" i="40"/>
  <c r="G322" i="40"/>
  <c r="F321" i="40"/>
  <c r="G321" i="40" s="1"/>
  <c r="D321" i="40"/>
  <c r="G320" i="40"/>
  <c r="G319" i="40" s="1"/>
  <c r="F319" i="40"/>
  <c r="E319" i="40"/>
  <c r="D319" i="40"/>
  <c r="G318" i="40"/>
  <c r="G317" i="40" s="1"/>
  <c r="F317" i="40"/>
  <c r="E317" i="40"/>
  <c r="D317" i="40"/>
  <c r="G316" i="40"/>
  <c r="G315" i="40"/>
  <c r="D315" i="40"/>
  <c r="G314" i="40"/>
  <c r="G313" i="40"/>
  <c r="D313" i="40"/>
  <c r="G312" i="40"/>
  <c r="H312" i="40" s="1"/>
  <c r="G311" i="40"/>
  <c r="H311" i="40" s="1"/>
  <c r="G310" i="40"/>
  <c r="H310" i="40" s="1"/>
  <c r="G309" i="40"/>
  <c r="H309" i="40" s="1"/>
  <c r="G308" i="40"/>
  <c r="F307" i="40"/>
  <c r="E307" i="40"/>
  <c r="D307" i="40"/>
  <c r="F301" i="40"/>
  <c r="D301" i="40"/>
  <c r="F293" i="40"/>
  <c r="F291" i="40" s="1"/>
  <c r="D293" i="40"/>
  <c r="G289" i="40"/>
  <c r="G288" i="40" s="1"/>
  <c r="F288" i="40"/>
  <c r="D288" i="40"/>
  <c r="F285" i="40"/>
  <c r="D285" i="40"/>
  <c r="G282" i="40"/>
  <c r="D275" i="40"/>
  <c r="G261" i="40"/>
  <c r="H261" i="40" s="1"/>
  <c r="G260" i="40"/>
  <c r="H260" i="40" s="1"/>
  <c r="G259" i="40"/>
  <c r="H259" i="40" s="1"/>
  <c r="G258" i="40"/>
  <c r="H258" i="40" s="1"/>
  <c r="G257" i="40"/>
  <c r="H257" i="40" s="1"/>
  <c r="G256" i="40"/>
  <c r="H256" i="40" s="1"/>
  <c r="G255" i="40"/>
  <c r="H255" i="40" s="1"/>
  <c r="G254" i="40"/>
  <c r="H254" i="40" s="1"/>
  <c r="G253" i="40"/>
  <c r="H253" i="40" s="1"/>
  <c r="G252" i="40"/>
  <c r="H252" i="40" s="1"/>
  <c r="G251" i="40"/>
  <c r="H251" i="40" s="1"/>
  <c r="G250" i="40"/>
  <c r="H250" i="40" s="1"/>
  <c r="G249" i="40"/>
  <c r="H249" i="40" s="1"/>
  <c r="G248" i="40"/>
  <c r="H248" i="40" s="1"/>
  <c r="G247" i="40"/>
  <c r="H247" i="40" s="1"/>
  <c r="G246" i="40"/>
  <c r="H246" i="40" s="1"/>
  <c r="G245" i="40"/>
  <c r="G244" i="40"/>
  <c r="F232" i="40"/>
  <c r="D232" i="40"/>
  <c r="F223" i="40"/>
  <c r="F222" i="40" s="1"/>
  <c r="D223" i="40"/>
  <c r="D222" i="40" s="1"/>
  <c r="F219" i="40"/>
  <c r="F218" i="40" s="1"/>
  <c r="F217" i="40" s="1"/>
  <c r="F216" i="40" s="1"/>
  <c r="D219" i="40"/>
  <c r="F204" i="40"/>
  <c r="F203" i="40" s="1"/>
  <c r="F202" i="40" s="1"/>
  <c r="D204" i="40"/>
  <c r="D203" i="40" s="1"/>
  <c r="F198" i="40"/>
  <c r="D198" i="40"/>
  <c r="F194" i="40"/>
  <c r="D194" i="40"/>
  <c r="F191" i="40"/>
  <c r="D191" i="40"/>
  <c r="F188" i="40"/>
  <c r="D188" i="40"/>
  <c r="F185" i="40"/>
  <c r="D185" i="40"/>
  <c r="F181" i="40"/>
  <c r="D181" i="40"/>
  <c r="F178" i="40"/>
  <c r="D178" i="40"/>
  <c r="F172" i="40"/>
  <c r="D172" i="40"/>
  <c r="F165" i="40"/>
  <c r="D165" i="40"/>
  <c r="F159" i="40"/>
  <c r="D159" i="40"/>
  <c r="F156" i="40"/>
  <c r="D156" i="40"/>
  <c r="D155" i="40" s="1"/>
  <c r="H153" i="40"/>
  <c r="G151" i="40"/>
  <c r="F140" i="40"/>
  <c r="D140" i="40"/>
  <c r="D135" i="40"/>
  <c r="D134" i="40" s="1"/>
  <c r="F121" i="40"/>
  <c r="D121" i="40"/>
  <c r="F118" i="40"/>
  <c r="F117" i="40" s="1"/>
  <c r="D118" i="40"/>
  <c r="D117" i="40" s="1"/>
  <c r="F114" i="40"/>
  <c r="D114" i="40"/>
  <c r="F111" i="40"/>
  <c r="D111" i="40"/>
  <c r="F108" i="40"/>
  <c r="F106" i="40" s="1"/>
  <c r="D108" i="40"/>
  <c r="D106" i="40" s="1"/>
  <c r="D99" i="40"/>
  <c r="D98" i="40" s="1"/>
  <c r="F18" i="41"/>
  <c r="F95" i="40"/>
  <c r="F94" i="40" s="1"/>
  <c r="F93" i="40" s="1"/>
  <c r="D95" i="40"/>
  <c r="D94" i="40" s="1"/>
  <c r="D93" i="40" s="1"/>
  <c r="D90" i="40"/>
  <c r="D89" i="40"/>
  <c r="D88" i="40" s="1"/>
  <c r="F85" i="40"/>
  <c r="D85" i="40"/>
  <c r="F83" i="40"/>
  <c r="D83" i="40"/>
  <c r="F78" i="40"/>
  <c r="F77" i="40" s="1"/>
  <c r="F76" i="40" s="1"/>
  <c r="D78" i="40"/>
  <c r="D77" i="40" s="1"/>
  <c r="D76" i="40" s="1"/>
  <c r="F73" i="40"/>
  <c r="F72" i="40" s="1"/>
  <c r="D73" i="40"/>
  <c r="D72" i="40" s="1"/>
  <c r="F70" i="40"/>
  <c r="D70" i="40"/>
  <c r="F68" i="40"/>
  <c r="D68" i="40"/>
  <c r="F66" i="40"/>
  <c r="D66" i="40"/>
  <c r="F63" i="40"/>
  <c r="D63" i="40"/>
  <c r="F61" i="40"/>
  <c r="D61" i="40"/>
  <c r="F56" i="40"/>
  <c r="F55" i="40" s="1"/>
  <c r="D56" i="40"/>
  <c r="D55" i="40" s="1"/>
  <c r="D54" i="40" s="1"/>
  <c r="F51" i="40"/>
  <c r="F50" i="40" s="1"/>
  <c r="F49" i="40" s="1"/>
  <c r="D51" i="40"/>
  <c r="F43" i="40"/>
  <c r="F42" i="40" s="1"/>
  <c r="F41" i="40" s="1"/>
  <c r="F40" i="40" s="1"/>
  <c r="D42" i="40"/>
  <c r="D41" i="40" s="1"/>
  <c r="D40" i="40" s="1"/>
  <c r="F37" i="40"/>
  <c r="D37" i="40"/>
  <c r="F31" i="40"/>
  <c r="D31" i="40"/>
  <c r="F16" i="40"/>
  <c r="D16" i="40"/>
  <c r="G357" i="40" l="1"/>
  <c r="G360" i="40"/>
  <c r="D30" i="40"/>
  <c r="D29" i="40" s="1"/>
  <c r="G400" i="40"/>
  <c r="E404" i="44"/>
  <c r="G404" i="44" s="1"/>
  <c r="F407" i="46" s="1"/>
  <c r="H407" i="46" s="1"/>
  <c r="E407" i="44"/>
  <c r="G407" i="44" s="1"/>
  <c r="F410" i="46" s="1"/>
  <c r="F409" i="46" s="1"/>
  <c r="D60" i="40"/>
  <c r="E401" i="44"/>
  <c r="G401" i="44" s="1"/>
  <c r="F404" i="46" s="1"/>
  <c r="H404" i="46" s="1"/>
  <c r="F27" i="45"/>
  <c r="F20" i="45" s="1"/>
  <c r="H341" i="40"/>
  <c r="E394" i="42"/>
  <c r="G394" i="42" s="1"/>
  <c r="H392" i="40"/>
  <c r="E398" i="44"/>
  <c r="G398" i="44" s="1"/>
  <c r="D445" i="40"/>
  <c r="D444" i="40" s="1"/>
  <c r="D443" i="40" s="1"/>
  <c r="E393" i="44"/>
  <c r="G393" i="44" s="1"/>
  <c r="F396" i="46" s="1"/>
  <c r="H396" i="46" s="1"/>
  <c r="E384" i="44"/>
  <c r="H389" i="42"/>
  <c r="E390" i="44"/>
  <c r="H393" i="42"/>
  <c r="E394" i="44"/>
  <c r="G394" i="44" s="1"/>
  <c r="F164" i="40"/>
  <c r="F163" i="40" s="1"/>
  <c r="F162" i="40" s="1"/>
  <c r="D20" i="41"/>
  <c r="D36" i="41" s="1"/>
  <c r="H400" i="40"/>
  <c r="E402" i="42"/>
  <c r="D65" i="40"/>
  <c r="D59" i="40" s="1"/>
  <c r="H151" i="40"/>
  <c r="E151" i="42"/>
  <c r="D231" i="40"/>
  <c r="G343" i="40"/>
  <c r="H343" i="40" s="1"/>
  <c r="G349" i="40"/>
  <c r="H349" i="40" s="1"/>
  <c r="F367" i="40"/>
  <c r="F26" i="41" s="1"/>
  <c r="H388" i="40"/>
  <c r="E390" i="42"/>
  <c r="G390" i="42" s="1"/>
  <c r="H391" i="40"/>
  <c r="G403" i="40"/>
  <c r="E406" i="42"/>
  <c r="G406" i="42" s="1"/>
  <c r="H339" i="40"/>
  <c r="H383" i="42"/>
  <c r="G382" i="42"/>
  <c r="H382" i="42" s="1"/>
  <c r="H389" i="40"/>
  <c r="E391" i="42"/>
  <c r="G391" i="42" s="1"/>
  <c r="H395" i="40"/>
  <c r="E397" i="42"/>
  <c r="G397" i="42" s="1"/>
  <c r="H397" i="42" s="1"/>
  <c r="G397" i="40"/>
  <c r="E400" i="42"/>
  <c r="G400" i="42" s="1"/>
  <c r="H401" i="40"/>
  <c r="E403" i="42"/>
  <c r="G403" i="42" s="1"/>
  <c r="G406" i="40"/>
  <c r="E409" i="42"/>
  <c r="G409" i="42" s="1"/>
  <c r="F82" i="40"/>
  <c r="F81" i="40" s="1"/>
  <c r="F283" i="40"/>
  <c r="F231" i="40" s="1"/>
  <c r="F23" i="41" s="1"/>
  <c r="G285" i="40"/>
  <c r="D352" i="40"/>
  <c r="G355" i="40"/>
  <c r="D367" i="40"/>
  <c r="G413" i="40"/>
  <c r="H413" i="40" s="1"/>
  <c r="H431" i="40"/>
  <c r="E426" i="42"/>
  <c r="G426" i="42" s="1"/>
  <c r="D433" i="40"/>
  <c r="D419" i="40" s="1"/>
  <c r="H245" i="40"/>
  <c r="G243" i="40"/>
  <c r="F30" i="40"/>
  <c r="F54" i="40"/>
  <c r="F300" i="40"/>
  <c r="F155" i="40"/>
  <c r="G412" i="40"/>
  <c r="H412" i="40" s="1"/>
  <c r="F65" i="40"/>
  <c r="F16" i="41" s="1"/>
  <c r="D82" i="40"/>
  <c r="D81" i="40" s="1"/>
  <c r="D218" i="40"/>
  <c r="H243" i="40"/>
  <c r="H326" i="40"/>
  <c r="D329" i="40"/>
  <c r="H403" i="40"/>
  <c r="G434" i="40"/>
  <c r="H460" i="40"/>
  <c r="H340" i="40"/>
  <c r="D50" i="40"/>
  <c r="D49" i="40" s="1"/>
  <c r="F60" i="40"/>
  <c r="H285" i="40"/>
  <c r="G307" i="40"/>
  <c r="H307" i="40" s="1"/>
  <c r="G330" i="40"/>
  <c r="H37" i="41"/>
  <c r="D202" i="40"/>
  <c r="D217" i="40"/>
  <c r="D216" i="40" s="1"/>
  <c r="G446" i="40"/>
  <c r="H447" i="40"/>
  <c r="H244" i="40"/>
  <c r="H330" i="40"/>
  <c r="G380" i="40"/>
  <c r="H381" i="40"/>
  <c r="G394" i="40"/>
  <c r="H440" i="40"/>
  <c r="G386" i="40"/>
  <c r="H387" i="40"/>
  <c r="D164" i="40"/>
  <c r="D163" i="40" s="1"/>
  <c r="D162" i="40" s="1"/>
  <c r="D104" i="40" s="1"/>
  <c r="D300" i="40"/>
  <c r="F329" i="40"/>
  <c r="G353" i="40"/>
  <c r="F352" i="40"/>
  <c r="G352" i="40" s="1"/>
  <c r="G364" i="40"/>
  <c r="G323" i="40"/>
  <c r="H323" i="40" s="1"/>
  <c r="H324" i="40"/>
  <c r="G347" i="40"/>
  <c r="H347" i="40" s="1"/>
  <c r="H348" i="40"/>
  <c r="G362" i="40"/>
  <c r="H308" i="40"/>
  <c r="H342" i="40"/>
  <c r="H346" i="40"/>
  <c r="H398" i="40"/>
  <c r="H404" i="40"/>
  <c r="H410" i="46" l="1"/>
  <c r="J410" i="46" s="1"/>
  <c r="H394" i="44"/>
  <c r="F397" i="46"/>
  <c r="H397" i="46" s="1"/>
  <c r="H398" i="44"/>
  <c r="F401" i="46"/>
  <c r="H401" i="46" s="1"/>
  <c r="E388" i="49"/>
  <c r="G388" i="49" s="1"/>
  <c r="J396" i="46"/>
  <c r="E396" i="49"/>
  <c r="G396" i="49" s="1"/>
  <c r="J404" i="46"/>
  <c r="E399" i="49"/>
  <c r="G399" i="49" s="1"/>
  <c r="J407" i="46"/>
  <c r="H409" i="46"/>
  <c r="E402" i="49"/>
  <c r="D298" i="40"/>
  <c r="D230" i="40" s="1"/>
  <c r="D229" i="40" s="1"/>
  <c r="D228" i="40" s="1"/>
  <c r="G384" i="44"/>
  <c r="E383" i="44"/>
  <c r="H394" i="42"/>
  <c r="E395" i="44"/>
  <c r="G395" i="44" s="1"/>
  <c r="E397" i="44"/>
  <c r="G397" i="44" s="1"/>
  <c r="E405" i="42"/>
  <c r="E406" i="44"/>
  <c r="H401" i="44"/>
  <c r="G400" i="44"/>
  <c r="I410" i="46"/>
  <c r="D14" i="40"/>
  <c r="D12" i="40" s="1"/>
  <c r="I404" i="46"/>
  <c r="H403" i="46"/>
  <c r="H404" i="44"/>
  <c r="G403" i="44"/>
  <c r="E382" i="42"/>
  <c r="H406" i="46"/>
  <c r="I407" i="46"/>
  <c r="E409" i="44"/>
  <c r="E400" i="44"/>
  <c r="G406" i="44"/>
  <c r="H406" i="44" s="1"/>
  <c r="H407" i="44"/>
  <c r="E403" i="44"/>
  <c r="E410" i="44"/>
  <c r="G410" i="44" s="1"/>
  <c r="G390" i="44"/>
  <c r="H391" i="42"/>
  <c r="E392" i="44"/>
  <c r="G392" i="44" s="1"/>
  <c r="H390" i="42"/>
  <c r="E391" i="44"/>
  <c r="G391" i="44" s="1"/>
  <c r="H426" i="42"/>
  <c r="E427" i="44"/>
  <c r="G427" i="44" s="1"/>
  <c r="F104" i="40"/>
  <c r="F19" i="41" s="1"/>
  <c r="D42" i="41"/>
  <c r="D11" i="41"/>
  <c r="G388" i="42"/>
  <c r="H388" i="42" s="1"/>
  <c r="H409" i="42"/>
  <c r="G408" i="42"/>
  <c r="H408" i="42" s="1"/>
  <c r="G399" i="42"/>
  <c r="H399" i="42" s="1"/>
  <c r="H400" i="42"/>
  <c r="H406" i="40"/>
  <c r="E408" i="42"/>
  <c r="E399" i="42"/>
  <c r="H397" i="40"/>
  <c r="H394" i="40"/>
  <c r="E396" i="42"/>
  <c r="G396" i="42" s="1"/>
  <c r="H396" i="42" s="1"/>
  <c r="G402" i="42"/>
  <c r="H402" i="42" s="1"/>
  <c r="H403" i="42"/>
  <c r="G405" i="42"/>
  <c r="H405" i="42" s="1"/>
  <c r="H406" i="42"/>
  <c r="F29" i="40"/>
  <c r="F14" i="40" s="1"/>
  <c r="F15" i="41"/>
  <c r="F14" i="41" s="1"/>
  <c r="F59" i="40"/>
  <c r="H386" i="40"/>
  <c r="E388" i="42"/>
  <c r="F29" i="41"/>
  <c r="H380" i="40"/>
  <c r="F298" i="40"/>
  <c r="G329" i="40"/>
  <c r="H329" i="40" s="1"/>
  <c r="H446" i="40"/>
  <c r="G445" i="40"/>
  <c r="G395" i="49" l="1"/>
  <c r="E396" i="54"/>
  <c r="G396" i="54" s="1"/>
  <c r="E396" i="52"/>
  <c r="G396" i="52" s="1"/>
  <c r="H399" i="49"/>
  <c r="E399" i="54"/>
  <c r="G399" i="54" s="1"/>
  <c r="E399" i="52"/>
  <c r="G399" i="52" s="1"/>
  <c r="G388" i="54"/>
  <c r="E388" i="52"/>
  <c r="G388" i="52" s="1"/>
  <c r="G398" i="49"/>
  <c r="H396" i="49"/>
  <c r="I401" i="46"/>
  <c r="J397" i="46"/>
  <c r="E389" i="49"/>
  <c r="G389" i="49" s="1"/>
  <c r="I397" i="46"/>
  <c r="H391" i="44"/>
  <c r="F394" i="46"/>
  <c r="H394" i="46" s="1"/>
  <c r="H390" i="44"/>
  <c r="F393" i="46"/>
  <c r="H393" i="46" s="1"/>
  <c r="H410" i="44"/>
  <c r="F413" i="46"/>
  <c r="H384" i="44"/>
  <c r="F387" i="46"/>
  <c r="H403" i="44"/>
  <c r="F406" i="46"/>
  <c r="H395" i="44"/>
  <c r="F398" i="46"/>
  <c r="H398" i="46" s="1"/>
  <c r="E393" i="49"/>
  <c r="G393" i="49" s="1"/>
  <c r="H392" i="44"/>
  <c r="F395" i="46"/>
  <c r="H400" i="44"/>
  <c r="F403" i="46"/>
  <c r="H397" i="44"/>
  <c r="F400" i="46"/>
  <c r="H400" i="46" s="1"/>
  <c r="J406" i="46"/>
  <c r="J403" i="46"/>
  <c r="I409" i="46"/>
  <c r="J409" i="46"/>
  <c r="E392" i="49"/>
  <c r="G392" i="49" s="1"/>
  <c r="E401" i="49"/>
  <c r="G402" i="49"/>
  <c r="I406" i="46"/>
  <c r="E398" i="49"/>
  <c r="I403" i="46"/>
  <c r="E395" i="49"/>
  <c r="H427" i="44"/>
  <c r="F437" i="46"/>
  <c r="H437" i="46" s="1"/>
  <c r="G409" i="44"/>
  <c r="H409" i="44" s="1"/>
  <c r="G383" i="44"/>
  <c r="H383" i="44" s="1"/>
  <c r="E389" i="44"/>
  <c r="G389" i="44"/>
  <c r="H389" i="44" s="1"/>
  <c r="F12" i="40"/>
  <c r="F12" i="41"/>
  <c r="D11" i="40"/>
  <c r="D463" i="40" s="1"/>
  <c r="F230" i="40"/>
  <c r="F229" i="40" s="1"/>
  <c r="F228" i="40" s="1"/>
  <c r="F25" i="41"/>
  <c r="F27" i="43"/>
  <c r="F20" i="43" s="1"/>
  <c r="H445" i="40"/>
  <c r="G444" i="40"/>
  <c r="H393" i="49" l="1"/>
  <c r="E393" i="54"/>
  <c r="G393" i="54" s="1"/>
  <c r="H393" i="54" s="1"/>
  <c r="E393" i="52"/>
  <c r="G393" i="52" s="1"/>
  <c r="H393" i="52" s="1"/>
  <c r="H396" i="52"/>
  <c r="G395" i="52"/>
  <c r="H395" i="52" s="1"/>
  <c r="H392" i="49"/>
  <c r="E392" i="54"/>
  <c r="G392" i="54" s="1"/>
  <c r="H392" i="54" s="1"/>
  <c r="E392" i="52"/>
  <c r="G392" i="52" s="1"/>
  <c r="H392" i="52" s="1"/>
  <c r="G398" i="52"/>
  <c r="H398" i="52" s="1"/>
  <c r="H399" i="52"/>
  <c r="H396" i="54"/>
  <c r="G395" i="54"/>
  <c r="H395" i="54" s="1"/>
  <c r="G389" i="54"/>
  <c r="H389" i="54" s="1"/>
  <c r="E389" i="52"/>
  <c r="G389" i="52" s="1"/>
  <c r="H389" i="52" s="1"/>
  <c r="H398" i="49"/>
  <c r="E398" i="54"/>
  <c r="E398" i="52"/>
  <c r="H399" i="54"/>
  <c r="G398" i="54"/>
  <c r="H398" i="54" s="1"/>
  <c r="H395" i="49"/>
  <c r="E395" i="54"/>
  <c r="E395" i="52"/>
  <c r="G402" i="54"/>
  <c r="E402" i="52"/>
  <c r="G402" i="52" s="1"/>
  <c r="I400" i="46"/>
  <c r="F386" i="46"/>
  <c r="H387" i="46"/>
  <c r="F392" i="46"/>
  <c r="H395" i="46"/>
  <c r="H389" i="49"/>
  <c r="J398" i="46"/>
  <c r="E390" i="49"/>
  <c r="G390" i="49" s="1"/>
  <c r="E390" i="52" s="1"/>
  <c r="G390" i="52" s="1"/>
  <c r="H390" i="52" s="1"/>
  <c r="I398" i="46"/>
  <c r="I393" i="46"/>
  <c r="E385" i="49"/>
  <c r="J393" i="46"/>
  <c r="F412" i="46"/>
  <c r="H413" i="46"/>
  <c r="J394" i="46"/>
  <c r="E386" i="49"/>
  <c r="G386" i="49" s="1"/>
  <c r="I394" i="46"/>
  <c r="E429" i="49"/>
  <c r="G429" i="49" s="1"/>
  <c r="E429" i="52" s="1"/>
  <c r="G429" i="52" s="1"/>
  <c r="H429" i="52" s="1"/>
  <c r="G401" i="49"/>
  <c r="H402" i="49"/>
  <c r="F11" i="40"/>
  <c r="F463" i="40" s="1"/>
  <c r="H444" i="40"/>
  <c r="G443" i="40"/>
  <c r="H443" i="40" s="1"/>
  <c r="E386" i="52" l="1"/>
  <c r="G386" i="52" s="1"/>
  <c r="H386" i="52" s="1"/>
  <c r="G401" i="54"/>
  <c r="H401" i="54" s="1"/>
  <c r="H402" i="54"/>
  <c r="G401" i="52"/>
  <c r="H401" i="52" s="1"/>
  <c r="H402" i="52"/>
  <c r="H401" i="49"/>
  <c r="E401" i="54"/>
  <c r="E401" i="52"/>
  <c r="H390" i="49"/>
  <c r="J413" i="46"/>
  <c r="I413" i="46"/>
  <c r="E405" i="49"/>
  <c r="H412" i="46"/>
  <c r="G385" i="49"/>
  <c r="E385" i="52" s="1"/>
  <c r="J395" i="46"/>
  <c r="E387" i="49"/>
  <c r="G387" i="49" s="1"/>
  <c r="I395" i="46"/>
  <c r="J387" i="46"/>
  <c r="E379" i="49"/>
  <c r="I387" i="46"/>
  <c r="H386" i="46"/>
  <c r="H386" i="49"/>
  <c r="H392" i="46"/>
  <c r="H429" i="49"/>
  <c r="F24" i="37"/>
  <c r="G385" i="52" l="1"/>
  <c r="G387" i="54"/>
  <c r="H387" i="54" s="1"/>
  <c r="E387" i="52"/>
  <c r="G387" i="52" s="1"/>
  <c r="H387" i="52" s="1"/>
  <c r="G386" i="54"/>
  <c r="E384" i="49"/>
  <c r="J386" i="46"/>
  <c r="I386" i="46"/>
  <c r="G384" i="49"/>
  <c r="H384" i="49" s="1"/>
  <c r="H385" i="49"/>
  <c r="J392" i="46"/>
  <c r="I392" i="46"/>
  <c r="H387" i="49"/>
  <c r="J412" i="46"/>
  <c r="I412" i="46"/>
  <c r="G379" i="49"/>
  <c r="E379" i="52" s="1"/>
  <c r="E378" i="49"/>
  <c r="E404" i="49"/>
  <c r="G405" i="49"/>
  <c r="E405" i="52" s="1"/>
  <c r="F87" i="36"/>
  <c r="F86" i="36" s="1"/>
  <c r="F88" i="36"/>
  <c r="F268" i="36"/>
  <c r="F24" i="35"/>
  <c r="F273" i="34"/>
  <c r="F269" i="34"/>
  <c r="G262" i="33"/>
  <c r="H262" i="33" s="1"/>
  <c r="G266" i="33"/>
  <c r="H266" i="33" s="1"/>
  <c r="G270" i="33"/>
  <c r="H270" i="33" s="1"/>
  <c r="E384" i="54" l="1"/>
  <c r="E404" i="52"/>
  <c r="G405" i="52"/>
  <c r="H385" i="52"/>
  <c r="G384" i="52"/>
  <c r="H384" i="52" s="1"/>
  <c r="E378" i="52"/>
  <c r="G379" i="52"/>
  <c r="H386" i="54"/>
  <c r="G384" i="54"/>
  <c r="H384" i="54" s="1"/>
  <c r="E384" i="52"/>
  <c r="H405" i="49"/>
  <c r="G404" i="49"/>
  <c r="H404" i="49" s="1"/>
  <c r="G378" i="49"/>
  <c r="H378" i="49" s="1"/>
  <c r="H379" i="49"/>
  <c r="F41" i="39"/>
  <c r="F40" i="39"/>
  <c r="F39" i="39"/>
  <c r="H39" i="39" s="1"/>
  <c r="H38" i="39"/>
  <c r="F38" i="39"/>
  <c r="F37" i="39"/>
  <c r="G35" i="39"/>
  <c r="H35" i="39" s="1"/>
  <c r="D33" i="39"/>
  <c r="D32" i="39" s="1"/>
  <c r="D31" i="39" s="1"/>
  <c r="E31" i="39"/>
  <c r="D28" i="39"/>
  <c r="D22" i="39"/>
  <c r="D21" i="39" s="1"/>
  <c r="D20" i="39" s="1"/>
  <c r="D14" i="39"/>
  <c r="D12" i="39" s="1"/>
  <c r="F468" i="38"/>
  <c r="I468" i="38" s="1"/>
  <c r="D468" i="38"/>
  <c r="F467" i="38"/>
  <c r="D467" i="38"/>
  <c r="F466" i="38"/>
  <c r="D466" i="38"/>
  <c r="F465" i="38"/>
  <c r="D465" i="38"/>
  <c r="F464" i="38"/>
  <c r="D464" i="38"/>
  <c r="F463" i="38"/>
  <c r="I463" i="38" s="1"/>
  <c r="D463" i="38"/>
  <c r="F462" i="38"/>
  <c r="I462" i="38" s="1"/>
  <c r="D462" i="38"/>
  <c r="F461" i="38"/>
  <c r="I461" i="38" s="1"/>
  <c r="D461" i="38"/>
  <c r="I460" i="38"/>
  <c r="H457" i="38"/>
  <c r="G456" i="38"/>
  <c r="F456" i="38"/>
  <c r="D456" i="38"/>
  <c r="H451" i="38"/>
  <c r="H446" i="38"/>
  <c r="H445" i="38"/>
  <c r="H444" i="38"/>
  <c r="G443" i="38"/>
  <c r="F442" i="38"/>
  <c r="F441" i="38" s="1"/>
  <c r="F440" i="38" s="1"/>
  <c r="F439" i="38" s="1"/>
  <c r="D442" i="38"/>
  <c r="G438" i="38"/>
  <c r="H438" i="38" s="1"/>
  <c r="G437" i="38"/>
  <c r="H437" i="38" s="1"/>
  <c r="F436" i="38"/>
  <c r="G436" i="38" s="1"/>
  <c r="D436" i="38"/>
  <c r="G435" i="38"/>
  <c r="H435" i="38" s="1"/>
  <c r="G434" i="38"/>
  <c r="E438" i="40" s="1"/>
  <c r="F432" i="38"/>
  <c r="D433" i="38"/>
  <c r="D432" i="38" s="1"/>
  <c r="G431" i="38"/>
  <c r="F430" i="38"/>
  <c r="D430" i="38"/>
  <c r="G427" i="38"/>
  <c r="H427" i="38" s="1"/>
  <c r="G426" i="38"/>
  <c r="G425" i="38"/>
  <c r="G424" i="38"/>
  <c r="G423" i="38"/>
  <c r="G422" i="38"/>
  <c r="G421" i="38"/>
  <c r="G420" i="38"/>
  <c r="G419" i="38"/>
  <c r="G418" i="38"/>
  <c r="E422" i="40" s="1"/>
  <c r="F417" i="38"/>
  <c r="F416" i="38" s="1"/>
  <c r="F29" i="39" s="1"/>
  <c r="D417" i="38"/>
  <c r="D416" i="38" s="1"/>
  <c r="G413" i="38"/>
  <c r="G412" i="38"/>
  <c r="G411" i="38"/>
  <c r="G410" i="38"/>
  <c r="H410" i="38" s="1"/>
  <c r="F409" i="38"/>
  <c r="F408" i="38" s="1"/>
  <c r="D409" i="38"/>
  <c r="D408" i="38"/>
  <c r="G406" i="38"/>
  <c r="F405" i="38"/>
  <c r="D405" i="38"/>
  <c r="G403" i="38"/>
  <c r="G402" i="38" s="1"/>
  <c r="F402" i="38"/>
  <c r="D402" i="38"/>
  <c r="G400" i="38"/>
  <c r="G399" i="38" s="1"/>
  <c r="F399" i="38"/>
  <c r="D399" i="38"/>
  <c r="G397" i="38"/>
  <c r="H397" i="38" s="1"/>
  <c r="F396" i="38"/>
  <c r="D396" i="38"/>
  <c r="G394" i="38"/>
  <c r="G393" i="38" s="1"/>
  <c r="F393" i="38"/>
  <c r="D393" i="38"/>
  <c r="G391" i="38"/>
  <c r="H391" i="38" s="1"/>
  <c r="F390" i="38"/>
  <c r="D390" i="38"/>
  <c r="G389" i="38"/>
  <c r="G388" i="38"/>
  <c r="G387" i="38"/>
  <c r="H387" i="38" s="1"/>
  <c r="G386" i="38"/>
  <c r="G385" i="38"/>
  <c r="H385" i="38" s="1"/>
  <c r="G384" i="38"/>
  <c r="H384" i="38" s="1"/>
  <c r="G383" i="38"/>
  <c r="F382" i="38"/>
  <c r="D382" i="38"/>
  <c r="G380" i="38"/>
  <c r="F379" i="38"/>
  <c r="D379" i="38"/>
  <c r="G377" i="38"/>
  <c r="F376" i="38"/>
  <c r="D376" i="38"/>
  <c r="G374" i="38"/>
  <c r="F373" i="38"/>
  <c r="D373" i="38"/>
  <c r="G371" i="38"/>
  <c r="E375" i="40" s="1"/>
  <c r="G375" i="40" s="1"/>
  <c r="F370" i="38"/>
  <c r="D370" i="38"/>
  <c r="G368" i="38"/>
  <c r="F367" i="38"/>
  <c r="D367" i="38"/>
  <c r="G365" i="38"/>
  <c r="E369" i="40" s="1"/>
  <c r="F364" i="38"/>
  <c r="D364" i="38"/>
  <c r="G361" i="38"/>
  <c r="F360" i="38"/>
  <c r="D360" i="38"/>
  <c r="G359" i="38"/>
  <c r="F358" i="38"/>
  <c r="D358" i="38"/>
  <c r="G358" i="38" s="1"/>
  <c r="G357" i="38"/>
  <c r="F356" i="38"/>
  <c r="D356" i="38"/>
  <c r="G355" i="38"/>
  <c r="G354" i="38"/>
  <c r="F353" i="38"/>
  <c r="D353" i="38"/>
  <c r="G352" i="38"/>
  <c r="F351" i="38"/>
  <c r="D351" i="38"/>
  <c r="G350" i="38"/>
  <c r="F349" i="38"/>
  <c r="D349" i="38"/>
  <c r="G346" i="38"/>
  <c r="H346" i="38" s="1"/>
  <c r="F345" i="38"/>
  <c r="D345" i="38"/>
  <c r="G344" i="38"/>
  <c r="F343" i="38"/>
  <c r="E343" i="38"/>
  <c r="D343" i="38"/>
  <c r="G342" i="38"/>
  <c r="H342" i="38" s="1"/>
  <c r="F341" i="38"/>
  <c r="D341" i="38"/>
  <c r="G340" i="38"/>
  <c r="G339" i="38" s="1"/>
  <c r="F339" i="38"/>
  <c r="D339" i="38"/>
  <c r="G338" i="38"/>
  <c r="G337" i="38" s="1"/>
  <c r="F337" i="38"/>
  <c r="D337" i="38"/>
  <c r="G336" i="38"/>
  <c r="G335" i="38" s="1"/>
  <c r="F335" i="38"/>
  <c r="D335" i="38"/>
  <c r="G333" i="38"/>
  <c r="H333" i="38" s="1"/>
  <c r="G332" i="38"/>
  <c r="G331" i="38"/>
  <c r="G330" i="38"/>
  <c r="G329" i="38"/>
  <c r="G328" i="38"/>
  <c r="G327" i="38"/>
  <c r="F326" i="38"/>
  <c r="E326" i="38"/>
  <c r="D326" i="38"/>
  <c r="H323" i="38"/>
  <c r="G322" i="38"/>
  <c r="F322" i="38"/>
  <c r="E322" i="38"/>
  <c r="D322" i="38"/>
  <c r="G321" i="38"/>
  <c r="H321" i="38" s="1"/>
  <c r="G320" i="38"/>
  <c r="F319" i="38"/>
  <c r="E319" i="38"/>
  <c r="D319" i="38"/>
  <c r="G318" i="38"/>
  <c r="F317" i="38"/>
  <c r="G317" i="38" s="1"/>
  <c r="D317" i="38"/>
  <c r="G316" i="38"/>
  <c r="G315" i="38" s="1"/>
  <c r="F315" i="38"/>
  <c r="E315" i="38"/>
  <c r="D315" i="38"/>
  <c r="G314" i="38"/>
  <c r="G313" i="38" s="1"/>
  <c r="F313" i="38"/>
  <c r="E313" i="38"/>
  <c r="D313" i="38"/>
  <c r="G312" i="38"/>
  <c r="G311" i="38"/>
  <c r="D311" i="38"/>
  <c r="G310" i="38"/>
  <c r="G309" i="38"/>
  <c r="D309" i="38"/>
  <c r="G308" i="38"/>
  <c r="H308" i="38" s="1"/>
  <c r="G307" i="38"/>
  <c r="H307" i="38" s="1"/>
  <c r="G306" i="38"/>
  <c r="H306" i="38" s="1"/>
  <c r="G305" i="38"/>
  <c r="H305" i="38" s="1"/>
  <c r="G304" i="38"/>
  <c r="F303" i="38"/>
  <c r="E303" i="38"/>
  <c r="D303" i="38"/>
  <c r="F298" i="38"/>
  <c r="D298" i="38"/>
  <c r="F290" i="38"/>
  <c r="F288" i="38" s="1"/>
  <c r="D290" i="38"/>
  <c r="G286" i="38"/>
  <c r="G285" i="38" s="1"/>
  <c r="F285" i="38"/>
  <c r="D285" i="38"/>
  <c r="G283" i="38"/>
  <c r="F282" i="38"/>
  <c r="F280" i="38" s="1"/>
  <c r="D282" i="38"/>
  <c r="G279" i="38"/>
  <c r="F276" i="38"/>
  <c r="F272" i="38"/>
  <c r="D272" i="38"/>
  <c r="F264" i="38"/>
  <c r="D264" i="38"/>
  <c r="F240" i="38"/>
  <c r="F229" i="38" s="1"/>
  <c r="D240" i="38"/>
  <c r="D229" i="38"/>
  <c r="F220" i="38"/>
  <c r="F219" i="38" s="1"/>
  <c r="D220" i="38"/>
  <c r="D219" i="38" s="1"/>
  <c r="F216" i="38"/>
  <c r="F215" i="38" s="1"/>
  <c r="F214" i="38" s="1"/>
  <c r="F213" i="38" s="1"/>
  <c r="D216" i="38"/>
  <c r="D215" i="38" s="1"/>
  <c r="D214" i="38" s="1"/>
  <c r="D213" i="38" s="1"/>
  <c r="F201" i="38"/>
  <c r="F200" i="38" s="1"/>
  <c r="F199" i="38" s="1"/>
  <c r="D201" i="38"/>
  <c r="D200" i="38" s="1"/>
  <c r="D199" i="38" s="1"/>
  <c r="F195" i="38"/>
  <c r="D195" i="38"/>
  <c r="F191" i="38"/>
  <c r="D191" i="38"/>
  <c r="F188" i="38"/>
  <c r="D188" i="38"/>
  <c r="F185" i="38"/>
  <c r="D185" i="38"/>
  <c r="F182" i="38"/>
  <c r="D182" i="38"/>
  <c r="F178" i="38"/>
  <c r="D178" i="38"/>
  <c r="F175" i="38"/>
  <c r="D175" i="38"/>
  <c r="F169" i="38"/>
  <c r="D169" i="38"/>
  <c r="F162" i="38"/>
  <c r="D162" i="38"/>
  <c r="F156" i="38"/>
  <c r="D156" i="38"/>
  <c r="F153" i="38"/>
  <c r="D153" i="38"/>
  <c r="H150" i="38"/>
  <c r="G148" i="38"/>
  <c r="F137" i="38"/>
  <c r="D137" i="38"/>
  <c r="G135" i="38"/>
  <c r="D132" i="38"/>
  <c r="D131" i="38" s="1"/>
  <c r="D125" i="38"/>
  <c r="D124" i="38"/>
  <c r="D123" i="38" s="1"/>
  <c r="F119" i="38"/>
  <c r="D119" i="38"/>
  <c r="D116" i="38"/>
  <c r="D115" i="38"/>
  <c r="F109" i="38"/>
  <c r="D109" i="38"/>
  <c r="F104" i="38"/>
  <c r="D106" i="38"/>
  <c r="D104" i="38" s="1"/>
  <c r="D97" i="38"/>
  <c r="D96" i="38" s="1"/>
  <c r="D93" i="38"/>
  <c r="D92" i="38" s="1"/>
  <c r="D91" i="38" s="1"/>
  <c r="D88" i="38"/>
  <c r="D87" i="38"/>
  <c r="D86" i="38" s="1"/>
  <c r="F83" i="38"/>
  <c r="D83" i="38"/>
  <c r="F81" i="38"/>
  <c r="D81" i="38"/>
  <c r="F76" i="38"/>
  <c r="F75" i="38" s="1"/>
  <c r="F74" i="38" s="1"/>
  <c r="D76" i="38"/>
  <c r="D75" i="38" s="1"/>
  <c r="D74" i="38" s="1"/>
  <c r="D71" i="38"/>
  <c r="D70" i="38" s="1"/>
  <c r="F68" i="38"/>
  <c r="D68" i="38"/>
  <c r="F66" i="38"/>
  <c r="D66" i="38"/>
  <c r="F64" i="38"/>
  <c r="D64" i="38"/>
  <c r="F61" i="38"/>
  <c r="D61" i="38"/>
  <c r="F59" i="38"/>
  <c r="D59" i="38"/>
  <c r="F54" i="38"/>
  <c r="F53" i="38" s="1"/>
  <c r="F52" i="38" s="1"/>
  <c r="D54" i="38"/>
  <c r="D53" i="38" s="1"/>
  <c r="D52" i="38" s="1"/>
  <c r="F49" i="38"/>
  <c r="F48" i="38" s="1"/>
  <c r="F47" i="38" s="1"/>
  <c r="D49" i="38"/>
  <c r="D48" i="38"/>
  <c r="D47" i="38" s="1"/>
  <c r="F43" i="38"/>
  <c r="F42" i="38" s="1"/>
  <c r="F41" i="38" s="1"/>
  <c r="D43" i="38"/>
  <c r="D42" i="38" s="1"/>
  <c r="D41" i="38" s="1"/>
  <c r="D40" i="38" s="1"/>
  <c r="F37" i="38"/>
  <c r="D37" i="38"/>
  <c r="F31" i="38"/>
  <c r="D31" i="38"/>
  <c r="D30" i="38" s="1"/>
  <c r="D29" i="38" s="1"/>
  <c r="F16" i="38"/>
  <c r="D16" i="38"/>
  <c r="F216" i="36"/>
  <c r="F215" i="36" s="1"/>
  <c r="F214" i="36" s="1"/>
  <c r="F213" i="36" s="1"/>
  <c r="G378" i="52" l="1"/>
  <c r="H378" i="52" s="1"/>
  <c r="H379" i="52"/>
  <c r="G404" i="52"/>
  <c r="H404" i="52" s="1"/>
  <c r="H405" i="52"/>
  <c r="D36" i="39"/>
  <c r="H283" i="38"/>
  <c r="E288" i="44"/>
  <c r="G288" i="44" s="1"/>
  <c r="E288" i="42"/>
  <c r="G288" i="42" s="1"/>
  <c r="H288" i="42" s="1"/>
  <c r="E286" i="40"/>
  <c r="G286" i="40" s="1"/>
  <c r="H286" i="40" s="1"/>
  <c r="H368" i="38"/>
  <c r="E372" i="40"/>
  <c r="G372" i="40" s="1"/>
  <c r="H380" i="38"/>
  <c r="E384" i="40"/>
  <c r="H421" i="38"/>
  <c r="E425" i="40"/>
  <c r="G425" i="40" s="1"/>
  <c r="H425" i="38"/>
  <c r="E429" i="40"/>
  <c r="G429" i="40" s="1"/>
  <c r="G422" i="40"/>
  <c r="H148" i="38"/>
  <c r="E151" i="40"/>
  <c r="D363" i="38"/>
  <c r="F363" i="38"/>
  <c r="F26" i="39" s="1"/>
  <c r="H374" i="38"/>
  <c r="E378" i="40"/>
  <c r="G378" i="40" s="1"/>
  <c r="H419" i="38"/>
  <c r="E423" i="40"/>
  <c r="G423" i="40" s="1"/>
  <c r="H423" i="38"/>
  <c r="E427" i="40"/>
  <c r="G427" i="40" s="1"/>
  <c r="E437" i="40"/>
  <c r="E436" i="40" s="1"/>
  <c r="E433" i="40" s="1"/>
  <c r="G438" i="40"/>
  <c r="F35" i="47"/>
  <c r="E34" i="45"/>
  <c r="E34" i="43"/>
  <c r="E35" i="41"/>
  <c r="E368" i="40"/>
  <c r="G369" i="40"/>
  <c r="H422" i="38"/>
  <c r="E426" i="40"/>
  <c r="G426" i="40" s="1"/>
  <c r="H426" i="38"/>
  <c r="E430" i="40"/>
  <c r="G430" i="40" s="1"/>
  <c r="D58" i="38"/>
  <c r="F141" i="46"/>
  <c r="H141" i="46" s="1"/>
  <c r="E138" i="44"/>
  <c r="G138" i="44" s="1"/>
  <c r="E138" i="42"/>
  <c r="G138" i="42" s="1"/>
  <c r="E138" i="40"/>
  <c r="G138" i="40" s="1"/>
  <c r="G282" i="38"/>
  <c r="H282" i="38" s="1"/>
  <c r="H399" i="38"/>
  <c r="G405" i="38"/>
  <c r="E410" i="40"/>
  <c r="H420" i="38"/>
  <c r="E424" i="40"/>
  <c r="G424" i="40" s="1"/>
  <c r="H424" i="38"/>
  <c r="E428" i="40"/>
  <c r="G428" i="40" s="1"/>
  <c r="G430" i="38"/>
  <c r="E377" i="42"/>
  <c r="G377" i="42" s="1"/>
  <c r="H375" i="40"/>
  <c r="G374" i="40"/>
  <c r="F58" i="38"/>
  <c r="H403" i="38"/>
  <c r="H337" i="38"/>
  <c r="D441" i="38"/>
  <c r="D440" i="38" s="1"/>
  <c r="D439" i="38" s="1"/>
  <c r="F40" i="38"/>
  <c r="H394" i="38"/>
  <c r="D80" i="38"/>
  <c r="D79" i="38" s="1"/>
  <c r="D325" i="38"/>
  <c r="H335" i="38"/>
  <c r="G367" i="38"/>
  <c r="G409" i="38"/>
  <c r="H409" i="38" s="1"/>
  <c r="F429" i="38"/>
  <c r="H340" i="38"/>
  <c r="D348" i="38"/>
  <c r="G303" i="38"/>
  <c r="H303" i="38" s="1"/>
  <c r="H393" i="38"/>
  <c r="H402" i="38"/>
  <c r="G408" i="38"/>
  <c r="H408" i="38" s="1"/>
  <c r="H338" i="38"/>
  <c r="G351" i="38"/>
  <c r="F63" i="38"/>
  <c r="G345" i="38"/>
  <c r="H345" i="38" s="1"/>
  <c r="G356" i="38"/>
  <c r="H405" i="38"/>
  <c r="D152" i="38"/>
  <c r="F228" i="38"/>
  <c r="H339" i="38"/>
  <c r="G341" i="38"/>
  <c r="H341" i="38" s="1"/>
  <c r="G353" i="38"/>
  <c r="G379" i="38"/>
  <c r="H379" i="38" s="1"/>
  <c r="G396" i="38"/>
  <c r="H396" i="38" s="1"/>
  <c r="H400" i="38"/>
  <c r="D429" i="38"/>
  <c r="D415" i="38" s="1"/>
  <c r="D63" i="38"/>
  <c r="D57" i="38" s="1"/>
  <c r="D228" i="38"/>
  <c r="H304" i="38"/>
  <c r="H322" i="38"/>
  <c r="H336" i="38"/>
  <c r="H406" i="38"/>
  <c r="F80" i="38"/>
  <c r="F152" i="38"/>
  <c r="F161" i="38"/>
  <c r="F160" i="38" s="1"/>
  <c r="F159" i="38" s="1"/>
  <c r="G326" i="38"/>
  <c r="H326" i="38" s="1"/>
  <c r="G360" i="38"/>
  <c r="G373" i="38"/>
  <c r="H456" i="38"/>
  <c r="D42" i="39"/>
  <c r="D11" i="39"/>
  <c r="H37" i="39"/>
  <c r="G442" i="38"/>
  <c r="H443" i="38"/>
  <c r="G382" i="38"/>
  <c r="H382" i="38" s="1"/>
  <c r="H383" i="38"/>
  <c r="D161" i="38"/>
  <c r="D160" i="38" s="1"/>
  <c r="D159" i="38" s="1"/>
  <c r="G376" i="38"/>
  <c r="H376" i="38" s="1"/>
  <c r="H377" i="38"/>
  <c r="G390" i="38"/>
  <c r="H390" i="38" s="1"/>
  <c r="H436" i="38"/>
  <c r="G349" i="38"/>
  <c r="F348" i="38"/>
  <c r="G348" i="38" s="1"/>
  <c r="G370" i="38"/>
  <c r="H371" i="38"/>
  <c r="G433" i="38"/>
  <c r="H434" i="38"/>
  <c r="F297" i="38"/>
  <c r="D297" i="38"/>
  <c r="D295" i="38" s="1"/>
  <c r="G319" i="38"/>
  <c r="H319" i="38" s="1"/>
  <c r="H320" i="38"/>
  <c r="F325" i="38"/>
  <c r="G343" i="38"/>
  <c r="H344" i="38"/>
  <c r="G364" i="38"/>
  <c r="H364" i="38" s="1"/>
  <c r="H365" i="38"/>
  <c r="G417" i="38"/>
  <c r="H418" i="38"/>
  <c r="H288" i="44" l="1"/>
  <c r="F291" i="46"/>
  <c r="H291" i="46" s="1"/>
  <c r="I291" i="46" s="1"/>
  <c r="E417" i="42"/>
  <c r="G421" i="40"/>
  <c r="H422" i="40"/>
  <c r="G371" i="40"/>
  <c r="H372" i="40"/>
  <c r="E374" i="42"/>
  <c r="G374" i="42" s="1"/>
  <c r="D227" i="38"/>
  <c r="D226" i="38" s="1"/>
  <c r="D225" i="38" s="1"/>
  <c r="F415" i="38"/>
  <c r="F30" i="39"/>
  <c r="H428" i="40"/>
  <c r="E423" i="42"/>
  <c r="G423" i="42" s="1"/>
  <c r="E409" i="40"/>
  <c r="G410" i="40"/>
  <c r="E421" i="40"/>
  <c r="E420" i="40" s="1"/>
  <c r="E419" i="40" s="1"/>
  <c r="E421" i="42"/>
  <c r="G421" i="42" s="1"/>
  <c r="H426" i="40"/>
  <c r="E433" i="42"/>
  <c r="G437" i="40"/>
  <c r="H438" i="40"/>
  <c r="E418" i="42"/>
  <c r="G418" i="42" s="1"/>
  <c r="H423" i="40"/>
  <c r="H425" i="40"/>
  <c r="E420" i="42"/>
  <c r="G420" i="42" s="1"/>
  <c r="H373" i="38"/>
  <c r="E377" i="40"/>
  <c r="F23" i="39"/>
  <c r="H430" i="40"/>
  <c r="E425" i="42"/>
  <c r="G425" i="42" s="1"/>
  <c r="H369" i="40"/>
  <c r="G368" i="40"/>
  <c r="H368" i="40" s="1"/>
  <c r="E371" i="42"/>
  <c r="E422" i="42"/>
  <c r="G422" i="42" s="1"/>
  <c r="H427" i="40"/>
  <c r="E380" i="42"/>
  <c r="G380" i="42" s="1"/>
  <c r="G377" i="40"/>
  <c r="H378" i="40"/>
  <c r="H429" i="40"/>
  <c r="E424" i="42"/>
  <c r="G424" i="42" s="1"/>
  <c r="E383" i="40"/>
  <c r="G384" i="40"/>
  <c r="H367" i="38"/>
  <c r="E371" i="40"/>
  <c r="H424" i="40"/>
  <c r="E419" i="42"/>
  <c r="G419" i="42" s="1"/>
  <c r="E378" i="44"/>
  <c r="E376" i="42"/>
  <c r="H374" i="40"/>
  <c r="G363" i="38"/>
  <c r="H363" i="38" s="1"/>
  <c r="E374" i="40"/>
  <c r="H377" i="42"/>
  <c r="G376" i="42"/>
  <c r="F57" i="38"/>
  <c r="F79" i="38"/>
  <c r="F17" i="39"/>
  <c r="F16" i="39"/>
  <c r="F29" i="38"/>
  <c r="F15" i="39"/>
  <c r="D102" i="38"/>
  <c r="F102" i="38"/>
  <c r="F19" i="39" s="1"/>
  <c r="D14" i="38"/>
  <c r="H417" i="38"/>
  <c r="G416" i="38"/>
  <c r="H343" i="38"/>
  <c r="G325" i="38"/>
  <c r="H325" i="38" s="1"/>
  <c r="F295" i="38"/>
  <c r="F227" i="38" s="1"/>
  <c r="F226" i="38" s="1"/>
  <c r="F225" i="38" s="1"/>
  <c r="H433" i="38"/>
  <c r="G432" i="38"/>
  <c r="H442" i="38"/>
  <c r="G441" i="38"/>
  <c r="H370" i="38"/>
  <c r="J291" i="46" l="1"/>
  <c r="E283" i="49"/>
  <c r="G283" i="49" s="1"/>
  <c r="H423" i="42"/>
  <c r="E424" i="44"/>
  <c r="G424" i="44" s="1"/>
  <c r="F14" i="38"/>
  <c r="F12" i="38" s="1"/>
  <c r="H424" i="42"/>
  <c r="E425" i="44"/>
  <c r="G425" i="44" s="1"/>
  <c r="H380" i="42"/>
  <c r="G379" i="42"/>
  <c r="H379" i="42" s="1"/>
  <c r="E381" i="44"/>
  <c r="G381" i="44" s="1"/>
  <c r="F384" i="46" s="1"/>
  <c r="F383" i="46" s="1"/>
  <c r="H420" i="42"/>
  <c r="E421" i="44"/>
  <c r="G421" i="44" s="1"/>
  <c r="H421" i="42"/>
  <c r="E422" i="44"/>
  <c r="G422" i="44" s="1"/>
  <c r="E373" i="42"/>
  <c r="H371" i="40"/>
  <c r="E374" i="44"/>
  <c r="H437" i="40"/>
  <c r="G436" i="40"/>
  <c r="H419" i="42"/>
  <c r="E420" i="44"/>
  <c r="G420" i="44" s="1"/>
  <c r="G383" i="40"/>
  <c r="E386" i="42"/>
  <c r="G386" i="42" s="1"/>
  <c r="H384" i="40"/>
  <c r="H422" i="42"/>
  <c r="E423" i="44"/>
  <c r="G423" i="44" s="1"/>
  <c r="E426" i="44"/>
  <c r="G426" i="44" s="1"/>
  <c r="H425" i="42"/>
  <c r="G433" i="42"/>
  <c r="E432" i="42"/>
  <c r="E431" i="42" s="1"/>
  <c r="E428" i="42" s="1"/>
  <c r="H374" i="42"/>
  <c r="E375" i="44"/>
  <c r="G375" i="44" s="1"/>
  <c r="F378" i="46" s="1"/>
  <c r="F377" i="46" s="1"/>
  <c r="G373" i="42"/>
  <c r="H373" i="42" s="1"/>
  <c r="G420" i="40"/>
  <c r="H421" i="40"/>
  <c r="E367" i="40"/>
  <c r="H377" i="40"/>
  <c r="E380" i="44"/>
  <c r="E379" i="42"/>
  <c r="E370" i="42"/>
  <c r="G371" i="42"/>
  <c r="E419" i="44"/>
  <c r="G419" i="44" s="1"/>
  <c r="H418" i="42"/>
  <c r="E412" i="42"/>
  <c r="G412" i="42" s="1"/>
  <c r="G409" i="40"/>
  <c r="H410" i="40"/>
  <c r="G417" i="42"/>
  <c r="E416" i="42"/>
  <c r="E415" i="42" s="1"/>
  <c r="E414" i="42" s="1"/>
  <c r="G378" i="44"/>
  <c r="F381" i="46" s="1"/>
  <c r="F380" i="46" s="1"/>
  <c r="E377" i="44"/>
  <c r="H376" i="42"/>
  <c r="F25" i="39"/>
  <c r="F14" i="39"/>
  <c r="F12" i="39" s="1"/>
  <c r="D12" i="38"/>
  <c r="D11" i="38" s="1"/>
  <c r="D459" i="38" s="1"/>
  <c r="H432" i="38"/>
  <c r="G429" i="38"/>
  <c r="H429" i="38" s="1"/>
  <c r="H416" i="38"/>
  <c r="H441" i="38"/>
  <c r="G440" i="38"/>
  <c r="H283" i="49" l="1"/>
  <c r="G283" i="54"/>
  <c r="H283" i="54" s="1"/>
  <c r="E283" i="52"/>
  <c r="G283" i="52" s="1"/>
  <c r="H283" i="52" s="1"/>
  <c r="H378" i="46"/>
  <c r="J378" i="46" s="1"/>
  <c r="H384" i="46"/>
  <c r="J384" i="46" s="1"/>
  <c r="H419" i="44"/>
  <c r="F429" i="46"/>
  <c r="H429" i="46" s="1"/>
  <c r="E421" i="49" s="1"/>
  <c r="G421" i="49" s="1"/>
  <c r="E421" i="52" s="1"/>
  <c r="G421" i="52" s="1"/>
  <c r="H421" i="52" s="1"/>
  <c r="H421" i="44"/>
  <c r="F431" i="46"/>
  <c r="H431" i="46" s="1"/>
  <c r="E423" i="49" s="1"/>
  <c r="G423" i="49" s="1"/>
  <c r="E423" i="52" s="1"/>
  <c r="G423" i="52" s="1"/>
  <c r="H423" i="52" s="1"/>
  <c r="H423" i="44"/>
  <c r="F433" i="46"/>
  <c r="H433" i="46" s="1"/>
  <c r="E425" i="49" s="1"/>
  <c r="G425" i="49" s="1"/>
  <c r="E425" i="52" s="1"/>
  <c r="G425" i="52" s="1"/>
  <c r="H425" i="52" s="1"/>
  <c r="H425" i="44"/>
  <c r="F435" i="46"/>
  <c r="H435" i="46" s="1"/>
  <c r="E427" i="49" s="1"/>
  <c r="G427" i="49" s="1"/>
  <c r="E427" i="52" s="1"/>
  <c r="G427" i="52" s="1"/>
  <c r="H427" i="52" s="1"/>
  <c r="H383" i="46"/>
  <c r="J383" i="46" s="1"/>
  <c r="E376" i="49"/>
  <c r="H377" i="46"/>
  <c r="H426" i="44"/>
  <c r="F436" i="46"/>
  <c r="H436" i="46" s="1"/>
  <c r="J436" i="46" s="1"/>
  <c r="H424" i="44"/>
  <c r="F434" i="46"/>
  <c r="H434" i="46" s="1"/>
  <c r="J434" i="46" s="1"/>
  <c r="H422" i="44"/>
  <c r="F432" i="46"/>
  <c r="H432" i="46" s="1"/>
  <c r="J432" i="46" s="1"/>
  <c r="H420" i="44"/>
  <c r="F430" i="46"/>
  <c r="H430" i="46" s="1"/>
  <c r="J430" i="46" s="1"/>
  <c r="H381" i="46"/>
  <c r="J381" i="46" s="1"/>
  <c r="H386" i="42"/>
  <c r="E387" i="44"/>
  <c r="G385" i="42"/>
  <c r="I383" i="46"/>
  <c r="I384" i="46"/>
  <c r="E413" i="44"/>
  <c r="G413" i="44" s="1"/>
  <c r="F416" i="46" s="1"/>
  <c r="F415" i="46" s="1"/>
  <c r="G411" i="42"/>
  <c r="H411" i="42" s="1"/>
  <c r="H412" i="42"/>
  <c r="H383" i="40"/>
  <c r="E385" i="42"/>
  <c r="E369" i="42" s="1"/>
  <c r="G367" i="40"/>
  <c r="H367" i="40" s="1"/>
  <c r="H381" i="44"/>
  <c r="G380" i="44"/>
  <c r="H380" i="44" s="1"/>
  <c r="E411" i="42"/>
  <c r="E412" i="44"/>
  <c r="H409" i="40"/>
  <c r="H375" i="44"/>
  <c r="G374" i="44"/>
  <c r="H374" i="44" s="1"/>
  <c r="E434" i="44"/>
  <c r="H433" i="42"/>
  <c r="G432" i="42"/>
  <c r="H371" i="42"/>
  <c r="E372" i="44"/>
  <c r="G370" i="42"/>
  <c r="H370" i="42" s="1"/>
  <c r="G433" i="40"/>
  <c r="H433" i="40" s="1"/>
  <c r="H436" i="40"/>
  <c r="H417" i="42"/>
  <c r="E418" i="44"/>
  <c r="G416" i="42"/>
  <c r="H420" i="40"/>
  <c r="I378" i="46"/>
  <c r="H378" i="44"/>
  <c r="G377" i="44"/>
  <c r="F11" i="38"/>
  <c r="F459" i="38" s="1"/>
  <c r="G415" i="38"/>
  <c r="H415" i="38" s="1"/>
  <c r="H440" i="38"/>
  <c r="G439" i="38"/>
  <c r="H439" i="38" s="1"/>
  <c r="E370" i="49" l="1"/>
  <c r="G370" i="49" s="1"/>
  <c r="I381" i="46"/>
  <c r="H416" i="46"/>
  <c r="J416" i="46" s="1"/>
  <c r="H425" i="49"/>
  <c r="I377" i="46"/>
  <c r="J377" i="46"/>
  <c r="H423" i="49"/>
  <c r="H421" i="49"/>
  <c r="H427" i="49"/>
  <c r="E369" i="49"/>
  <c r="I430" i="46"/>
  <c r="E422" i="49"/>
  <c r="G422" i="49" s="1"/>
  <c r="E422" i="52" s="1"/>
  <c r="G422" i="52" s="1"/>
  <c r="H415" i="46"/>
  <c r="J415" i="46" s="1"/>
  <c r="E408" i="49"/>
  <c r="I432" i="46"/>
  <c r="E424" i="49"/>
  <c r="G424" i="49" s="1"/>
  <c r="E424" i="52" s="1"/>
  <c r="G424" i="52" s="1"/>
  <c r="E375" i="49"/>
  <c r="G376" i="49"/>
  <c r="E376" i="52" s="1"/>
  <c r="I434" i="46"/>
  <c r="E426" i="49"/>
  <c r="G426" i="49" s="1"/>
  <c r="E426" i="52" s="1"/>
  <c r="G426" i="52" s="1"/>
  <c r="I436" i="46"/>
  <c r="E428" i="49"/>
  <c r="G428" i="49" s="1"/>
  <c r="E428" i="52" s="1"/>
  <c r="G428" i="52" s="1"/>
  <c r="H428" i="52" s="1"/>
  <c r="H380" i="46"/>
  <c r="J380" i="46" s="1"/>
  <c r="E373" i="49"/>
  <c r="G418" i="44"/>
  <c r="F428" i="46" s="1"/>
  <c r="F427" i="46" s="1"/>
  <c r="F426" i="46" s="1"/>
  <c r="E417" i="44"/>
  <c r="E416" i="44" s="1"/>
  <c r="E433" i="44"/>
  <c r="E432" i="44" s="1"/>
  <c r="E429" i="44" s="1"/>
  <c r="G434" i="44"/>
  <c r="F444" i="46" s="1"/>
  <c r="F443" i="46" s="1"/>
  <c r="F442" i="46" s="1"/>
  <c r="F439" i="46" s="1"/>
  <c r="E386" i="44"/>
  <c r="E370" i="44" s="1"/>
  <c r="G387" i="44"/>
  <c r="F390" i="46" s="1"/>
  <c r="F389" i="46" s="1"/>
  <c r="I416" i="46"/>
  <c r="G372" i="44"/>
  <c r="F375" i="46" s="1"/>
  <c r="F374" i="46" s="1"/>
  <c r="E371" i="44"/>
  <c r="G431" i="42"/>
  <c r="H432" i="42"/>
  <c r="H385" i="42"/>
  <c r="G369" i="42"/>
  <c r="H369" i="42" s="1"/>
  <c r="G419" i="40"/>
  <c r="H419" i="40" s="1"/>
  <c r="G415" i="42"/>
  <c r="H416" i="42"/>
  <c r="H413" i="44"/>
  <c r="G412" i="44"/>
  <c r="H412" i="44" s="1"/>
  <c r="H390" i="46"/>
  <c r="J390" i="46" s="1"/>
  <c r="I380" i="46"/>
  <c r="H377" i="44"/>
  <c r="F32" i="33"/>
  <c r="H426" i="52" l="1"/>
  <c r="E426" i="54"/>
  <c r="G426" i="54" s="1"/>
  <c r="H424" i="52"/>
  <c r="E424" i="54"/>
  <c r="G424" i="54" s="1"/>
  <c r="H422" i="52"/>
  <c r="E422" i="54"/>
  <c r="G422" i="54" s="1"/>
  <c r="E375" i="52"/>
  <c r="G376" i="52"/>
  <c r="E376" i="54" s="1"/>
  <c r="E370" i="52"/>
  <c r="E369" i="52" s="1"/>
  <c r="E370" i="54"/>
  <c r="H444" i="46"/>
  <c r="J444" i="46" s="1"/>
  <c r="H375" i="46"/>
  <c r="J375" i="46" s="1"/>
  <c r="F373" i="46"/>
  <c r="I415" i="46"/>
  <c r="H428" i="46"/>
  <c r="J428" i="46" s="1"/>
  <c r="E436" i="49"/>
  <c r="G436" i="49" s="1"/>
  <c r="E436" i="52" s="1"/>
  <c r="H426" i="49"/>
  <c r="H424" i="49"/>
  <c r="H422" i="49"/>
  <c r="H428" i="49"/>
  <c r="E372" i="49"/>
  <c r="G373" i="49"/>
  <c r="H389" i="46"/>
  <c r="J389" i="46" s="1"/>
  <c r="E382" i="49"/>
  <c r="H376" i="49"/>
  <c r="G375" i="49"/>
  <c r="H375" i="49" s="1"/>
  <c r="E407" i="49"/>
  <c r="G408" i="49"/>
  <c r="E408" i="52" s="1"/>
  <c r="G369" i="49"/>
  <c r="H369" i="49" s="1"/>
  <c r="H370" i="49"/>
  <c r="F425" i="46"/>
  <c r="I390" i="46"/>
  <c r="H434" i="44"/>
  <c r="G433" i="44"/>
  <c r="H431" i="42"/>
  <c r="G428" i="42"/>
  <c r="H428" i="42" s="1"/>
  <c r="E415" i="44"/>
  <c r="G371" i="44"/>
  <c r="H371" i="44" s="1"/>
  <c r="H372" i="44"/>
  <c r="H387" i="44"/>
  <c r="G386" i="44"/>
  <c r="H415" i="42"/>
  <c r="G414" i="42"/>
  <c r="H414" i="42" s="1"/>
  <c r="I428" i="46"/>
  <c r="H427" i="46"/>
  <c r="J427" i="46" s="1"/>
  <c r="I444" i="46"/>
  <c r="H443" i="46"/>
  <c r="J443" i="46" s="1"/>
  <c r="H418" i="44"/>
  <c r="G417" i="44"/>
  <c r="F216" i="34"/>
  <c r="F215" i="34" s="1"/>
  <c r="F214" i="34" s="1"/>
  <c r="F213" i="34" s="1"/>
  <c r="F41" i="37"/>
  <c r="F40" i="37"/>
  <c r="F39" i="37"/>
  <c r="H39" i="37" s="1"/>
  <c r="F38" i="37"/>
  <c r="H38" i="37" s="1"/>
  <c r="F37" i="37"/>
  <c r="D33" i="37"/>
  <c r="D32" i="37" s="1"/>
  <c r="D31" i="37" s="1"/>
  <c r="D28" i="37"/>
  <c r="D22" i="37"/>
  <c r="D21" i="37" s="1"/>
  <c r="D20" i="37" s="1"/>
  <c r="D14" i="37"/>
  <c r="D12" i="37" s="1"/>
  <c r="H426" i="54" l="1"/>
  <c r="E426" i="57"/>
  <c r="G426" i="57" s="1"/>
  <c r="H426" i="57" s="1"/>
  <c r="H424" i="54"/>
  <c r="E424" i="57"/>
  <c r="G424" i="57" s="1"/>
  <c r="H424" i="57" s="1"/>
  <c r="H422" i="54"/>
  <c r="E422" i="57"/>
  <c r="G422" i="57" s="1"/>
  <c r="H422" i="57" s="1"/>
  <c r="E375" i="54"/>
  <c r="G376" i="54"/>
  <c r="E407" i="52"/>
  <c r="G408" i="52"/>
  <c r="G370" i="54"/>
  <c r="E369" i="54"/>
  <c r="G436" i="52"/>
  <c r="E435" i="52"/>
  <c r="E434" i="52" s="1"/>
  <c r="E431" i="52" s="1"/>
  <c r="E373" i="52"/>
  <c r="G373" i="52" s="1"/>
  <c r="E373" i="54" s="1"/>
  <c r="G370" i="52"/>
  <c r="G375" i="52"/>
  <c r="H375" i="52" s="1"/>
  <c r="H376" i="52"/>
  <c r="E372" i="52"/>
  <c r="E367" i="49"/>
  <c r="G367" i="49" s="1"/>
  <c r="I375" i="46"/>
  <c r="G369" i="52"/>
  <c r="H369" i="52" s="1"/>
  <c r="H370" i="52"/>
  <c r="H374" i="46"/>
  <c r="J374" i="46" s="1"/>
  <c r="E435" i="49"/>
  <c r="E434" i="49" s="1"/>
  <c r="E431" i="49" s="1"/>
  <c r="E420" i="49"/>
  <c r="E419" i="49" s="1"/>
  <c r="E418" i="49" s="1"/>
  <c r="H436" i="49"/>
  <c r="G435" i="49"/>
  <c r="H408" i="49"/>
  <c r="G407" i="49"/>
  <c r="H407" i="49" s="1"/>
  <c r="E366" i="49"/>
  <c r="G372" i="49"/>
  <c r="H372" i="49" s="1"/>
  <c r="H373" i="49"/>
  <c r="E381" i="49"/>
  <c r="G382" i="49"/>
  <c r="E382" i="52" s="1"/>
  <c r="D11" i="37"/>
  <c r="H442" i="46"/>
  <c r="J442" i="46" s="1"/>
  <c r="I443" i="46"/>
  <c r="I427" i="46"/>
  <c r="H426" i="46"/>
  <c r="J426" i="46" s="1"/>
  <c r="H386" i="44"/>
  <c r="G370" i="44"/>
  <c r="H370" i="44" s="1"/>
  <c r="G432" i="44"/>
  <c r="H433" i="44"/>
  <c r="I389" i="46"/>
  <c r="H373" i="46"/>
  <c r="H417" i="44"/>
  <c r="G416" i="44"/>
  <c r="D36" i="37"/>
  <c r="H37" i="37"/>
  <c r="G375" i="54" l="1"/>
  <c r="E376" i="57"/>
  <c r="G376" i="57" s="1"/>
  <c r="H376" i="54"/>
  <c r="G373" i="54"/>
  <c r="E373" i="57" s="1"/>
  <c r="G373" i="57" s="1"/>
  <c r="E372" i="54"/>
  <c r="E417" i="49"/>
  <c r="G369" i="54"/>
  <c r="H369" i="54" s="1"/>
  <c r="H370" i="54"/>
  <c r="E381" i="52"/>
  <c r="G382" i="52"/>
  <c r="E367" i="52"/>
  <c r="E365" i="52" s="1"/>
  <c r="G407" i="52"/>
  <c r="H407" i="52" s="1"/>
  <c r="H408" i="52"/>
  <c r="G420" i="49"/>
  <c r="H436" i="52"/>
  <c r="G435" i="52"/>
  <c r="E365" i="49"/>
  <c r="G372" i="52"/>
  <c r="H372" i="52" s="1"/>
  <c r="H373" i="52"/>
  <c r="I374" i="46"/>
  <c r="G367" i="52"/>
  <c r="E367" i="54" s="1"/>
  <c r="I373" i="46"/>
  <c r="J373" i="46"/>
  <c r="G366" i="49"/>
  <c r="H366" i="49" s="1"/>
  <c r="H367" i="49"/>
  <c r="H435" i="49"/>
  <c r="G434" i="49"/>
  <c r="G381" i="49"/>
  <c r="H381" i="49" s="1"/>
  <c r="H382" i="49"/>
  <c r="H432" i="44"/>
  <c r="G429" i="44"/>
  <c r="H429" i="44" s="1"/>
  <c r="I442" i="46"/>
  <c r="H439" i="46"/>
  <c r="H416" i="44"/>
  <c r="I426" i="46"/>
  <c r="D42" i="37"/>
  <c r="H373" i="57" l="1"/>
  <c r="G372" i="57"/>
  <c r="H372" i="57" s="1"/>
  <c r="G375" i="57"/>
  <c r="H376" i="57"/>
  <c r="H375" i="54"/>
  <c r="E375" i="57"/>
  <c r="E366" i="52"/>
  <c r="E420" i="52"/>
  <c r="G419" i="49"/>
  <c r="G381" i="52"/>
  <c r="H381" i="52" s="1"/>
  <c r="H382" i="52"/>
  <c r="H420" i="49"/>
  <c r="G434" i="52"/>
  <c r="H435" i="52"/>
  <c r="G367" i="54"/>
  <c r="E367" i="57" s="1"/>
  <c r="E366" i="54"/>
  <c r="E365" i="54"/>
  <c r="H373" i="54"/>
  <c r="G372" i="54"/>
  <c r="G366" i="52"/>
  <c r="H366" i="52" s="1"/>
  <c r="H367" i="52"/>
  <c r="G365" i="52"/>
  <c r="I439" i="46"/>
  <c r="J439" i="46"/>
  <c r="H434" i="49"/>
  <c r="G431" i="49"/>
  <c r="H431" i="49" s="1"/>
  <c r="G365" i="49"/>
  <c r="H365" i="49" s="1"/>
  <c r="H425" i="46"/>
  <c r="G415" i="44"/>
  <c r="H415" i="44" s="1"/>
  <c r="F468" i="36"/>
  <c r="I468" i="36" s="1"/>
  <c r="D468" i="36"/>
  <c r="F467" i="36"/>
  <c r="D467" i="36"/>
  <c r="F466" i="36"/>
  <c r="D466" i="36"/>
  <c r="F465" i="36"/>
  <c r="D465" i="36"/>
  <c r="F464" i="36"/>
  <c r="D464" i="36"/>
  <c r="F463" i="36"/>
  <c r="I463" i="36" s="1"/>
  <c r="D463" i="36"/>
  <c r="F462" i="36"/>
  <c r="I462" i="36" s="1"/>
  <c r="D462" i="36"/>
  <c r="F461" i="36"/>
  <c r="I461" i="36" s="1"/>
  <c r="D461" i="36"/>
  <c r="I460" i="36"/>
  <c r="H457" i="36"/>
  <c r="G456" i="36"/>
  <c r="F456" i="36"/>
  <c r="F35" i="37" s="1"/>
  <c r="G35" i="37" s="1"/>
  <c r="D456" i="36"/>
  <c r="H451" i="36"/>
  <c r="H446" i="36"/>
  <c r="H445" i="36"/>
  <c r="H444" i="36"/>
  <c r="G443" i="36"/>
  <c r="G442" i="36" s="1"/>
  <c r="F442" i="36"/>
  <c r="D442" i="36"/>
  <c r="G438" i="36"/>
  <c r="H438" i="36" s="1"/>
  <c r="G437" i="36"/>
  <c r="H437" i="36" s="1"/>
  <c r="F436" i="36"/>
  <c r="G436" i="36" s="1"/>
  <c r="D436" i="36"/>
  <c r="G435" i="36"/>
  <c r="H435" i="36" s="1"/>
  <c r="G434" i="36"/>
  <c r="G433" i="36" s="1"/>
  <c r="F433" i="36"/>
  <c r="D433" i="36"/>
  <c r="D432" i="36" s="1"/>
  <c r="G431" i="36"/>
  <c r="F430" i="36"/>
  <c r="D430" i="36"/>
  <c r="G427" i="36"/>
  <c r="H427" i="36" s="1"/>
  <c r="G426" i="36"/>
  <c r="H426" i="36" s="1"/>
  <c r="G425" i="36"/>
  <c r="H425" i="36" s="1"/>
  <c r="G424" i="36"/>
  <c r="H424" i="36" s="1"/>
  <c r="G423" i="36"/>
  <c r="H423" i="36" s="1"/>
  <c r="G422" i="36"/>
  <c r="H422" i="36" s="1"/>
  <c r="G421" i="36"/>
  <c r="H421" i="36" s="1"/>
  <c r="G420" i="36"/>
  <c r="H420" i="36" s="1"/>
  <c r="G419" i="36"/>
  <c r="H419" i="36" s="1"/>
  <c r="G418" i="36"/>
  <c r="H418" i="36" s="1"/>
  <c r="F417" i="36"/>
  <c r="F416" i="36" s="1"/>
  <c r="D417" i="36"/>
  <c r="D416" i="36" s="1"/>
  <c r="G413" i="36"/>
  <c r="G412" i="36"/>
  <c r="G411" i="36"/>
  <c r="G410" i="36"/>
  <c r="G409" i="36" s="1"/>
  <c r="F409" i="36"/>
  <c r="F408" i="36" s="1"/>
  <c r="F27" i="37" s="1"/>
  <c r="D409" i="36"/>
  <c r="D408" i="36" s="1"/>
  <c r="G406" i="36"/>
  <c r="F405" i="36"/>
  <c r="D405" i="36"/>
  <c r="G403" i="36"/>
  <c r="H403" i="36" s="1"/>
  <c r="F402" i="36"/>
  <c r="D402" i="36"/>
  <c r="G400" i="36"/>
  <c r="F399" i="36"/>
  <c r="D399" i="36"/>
  <c r="G397" i="36"/>
  <c r="H397" i="36" s="1"/>
  <c r="F396" i="36"/>
  <c r="D396" i="36"/>
  <c r="G394" i="36"/>
  <c r="F393" i="36"/>
  <c r="D393" i="36"/>
  <c r="G391" i="36"/>
  <c r="H391" i="36" s="1"/>
  <c r="F390" i="36"/>
  <c r="G390" i="36" s="1"/>
  <c r="D390" i="36"/>
  <c r="G389" i="36"/>
  <c r="G388" i="36"/>
  <c r="G387" i="36"/>
  <c r="H387" i="36" s="1"/>
  <c r="G386" i="36"/>
  <c r="G385" i="36"/>
  <c r="H385" i="36" s="1"/>
  <c r="G384" i="36"/>
  <c r="H384" i="36" s="1"/>
  <c r="G383" i="36"/>
  <c r="F382" i="36"/>
  <c r="D382" i="36"/>
  <c r="G380" i="36"/>
  <c r="H380" i="36" s="1"/>
  <c r="F379" i="36"/>
  <c r="D379" i="36"/>
  <c r="G377" i="36"/>
  <c r="G376" i="36" s="1"/>
  <c r="F376" i="36"/>
  <c r="D376" i="36"/>
  <c r="G374" i="36"/>
  <c r="G373" i="36" s="1"/>
  <c r="F373" i="36"/>
  <c r="D373" i="36"/>
  <c r="G371" i="36"/>
  <c r="G370" i="36" s="1"/>
  <c r="F370" i="36"/>
  <c r="D370" i="36"/>
  <c r="G368" i="36"/>
  <c r="H368" i="36" s="1"/>
  <c r="F367" i="36"/>
  <c r="D367" i="36"/>
  <c r="G365" i="36"/>
  <c r="F364" i="36"/>
  <c r="D364" i="36"/>
  <c r="G361" i="36"/>
  <c r="F360" i="36"/>
  <c r="D360" i="36"/>
  <c r="G359" i="36"/>
  <c r="F358" i="36"/>
  <c r="D358" i="36"/>
  <c r="G357" i="36"/>
  <c r="F356" i="36"/>
  <c r="D356" i="36"/>
  <c r="G355" i="36"/>
  <c r="G354" i="36"/>
  <c r="F353" i="36"/>
  <c r="D353" i="36"/>
  <c r="G352" i="36"/>
  <c r="F351" i="36"/>
  <c r="D351" i="36"/>
  <c r="G350" i="36"/>
  <c r="F349" i="36"/>
  <c r="D349" i="36"/>
  <c r="G346" i="36"/>
  <c r="H346" i="36" s="1"/>
  <c r="F345" i="36"/>
  <c r="D345" i="36"/>
  <c r="G344" i="36"/>
  <c r="G343" i="36" s="1"/>
  <c r="F343" i="36"/>
  <c r="E343" i="36"/>
  <c r="D343" i="36"/>
  <c r="G342" i="36"/>
  <c r="F341" i="36"/>
  <c r="D341" i="36"/>
  <c r="G340" i="36"/>
  <c r="H340" i="36" s="1"/>
  <c r="F339" i="36"/>
  <c r="D339" i="36"/>
  <c r="G338" i="36"/>
  <c r="F337" i="36"/>
  <c r="D337" i="36"/>
  <c r="G336" i="36"/>
  <c r="H336" i="36" s="1"/>
  <c r="F335" i="36"/>
  <c r="D335" i="36"/>
  <c r="G333" i="36"/>
  <c r="H333" i="36" s="1"/>
  <c r="G332" i="36"/>
  <c r="G331" i="36"/>
  <c r="G330" i="36"/>
  <c r="G329" i="36"/>
  <c r="G328" i="36"/>
  <c r="G327" i="36"/>
  <c r="F326" i="36"/>
  <c r="E326" i="36"/>
  <c r="D326" i="36"/>
  <c r="H323" i="36"/>
  <c r="G322" i="36"/>
  <c r="F322" i="36"/>
  <c r="E322" i="36"/>
  <c r="D322" i="36"/>
  <c r="G321" i="36"/>
  <c r="H321" i="36" s="1"/>
  <c r="G320" i="36"/>
  <c r="F319" i="36"/>
  <c r="E319" i="36"/>
  <c r="D319" i="36"/>
  <c r="G318" i="36"/>
  <c r="F317" i="36"/>
  <c r="G317" i="36" s="1"/>
  <c r="D317" i="36"/>
  <c r="G316" i="36"/>
  <c r="G315" i="36" s="1"/>
  <c r="F315" i="36"/>
  <c r="E315" i="36"/>
  <c r="D315" i="36"/>
  <c r="F313" i="36"/>
  <c r="D313" i="36"/>
  <c r="D311" i="36"/>
  <c r="D309" i="36"/>
  <c r="F303" i="36"/>
  <c r="D303" i="36"/>
  <c r="F298" i="36"/>
  <c r="D298" i="36"/>
  <c r="F290" i="36"/>
  <c r="F288" i="36" s="1"/>
  <c r="D290" i="36"/>
  <c r="G286" i="36"/>
  <c r="G285" i="36" s="1"/>
  <c r="F285" i="36"/>
  <c r="D285" i="36"/>
  <c r="G283" i="36"/>
  <c r="E283" i="38" s="1"/>
  <c r="F282" i="36"/>
  <c r="F280" i="36" s="1"/>
  <c r="D282" i="36"/>
  <c r="G281" i="36"/>
  <c r="E281" i="38" s="1"/>
  <c r="G279" i="36"/>
  <c r="F276" i="36"/>
  <c r="F272" i="36"/>
  <c r="D272" i="36"/>
  <c r="F264" i="36"/>
  <c r="D264" i="36"/>
  <c r="F260" i="36"/>
  <c r="G258" i="36"/>
  <c r="G257" i="36"/>
  <c r="G256" i="36"/>
  <c r="G255" i="36"/>
  <c r="G254" i="36"/>
  <c r="G253" i="36"/>
  <c r="G252" i="36"/>
  <c r="G251" i="36"/>
  <c r="G250" i="36"/>
  <c r="G249" i="36"/>
  <c r="G248" i="36"/>
  <c r="G247" i="36"/>
  <c r="G246" i="36"/>
  <c r="G245" i="36"/>
  <c r="G244" i="36"/>
  <c r="G243" i="36"/>
  <c r="G242" i="36"/>
  <c r="E242" i="38" s="1"/>
  <c r="G242" i="38" s="1"/>
  <c r="H242" i="38" s="1"/>
  <c r="G241" i="36"/>
  <c r="F240" i="36"/>
  <c r="D240" i="36"/>
  <c r="D229" i="36" s="1"/>
  <c r="G239" i="36"/>
  <c r="G238" i="36"/>
  <c r="G237" i="36"/>
  <c r="G236" i="36"/>
  <c r="G235" i="36"/>
  <c r="G234" i="36"/>
  <c r="G233" i="36"/>
  <c r="G232" i="36"/>
  <c r="G231" i="36"/>
  <c r="F230" i="36"/>
  <c r="F220" i="36"/>
  <c r="F219" i="36" s="1"/>
  <c r="D220" i="36"/>
  <c r="D219" i="36" s="1"/>
  <c r="D216" i="36"/>
  <c r="D215" i="36" s="1"/>
  <c r="D214" i="36" s="1"/>
  <c r="D213" i="36" s="1"/>
  <c r="F201" i="36"/>
  <c r="F200" i="36" s="1"/>
  <c r="F199" i="36" s="1"/>
  <c r="D201" i="36"/>
  <c r="D200" i="36" s="1"/>
  <c r="D199" i="36" s="1"/>
  <c r="F195" i="36"/>
  <c r="D195" i="36"/>
  <c r="F191" i="36"/>
  <c r="D191" i="36"/>
  <c r="F188" i="36"/>
  <c r="D188" i="36"/>
  <c r="F185" i="36"/>
  <c r="D185" i="36"/>
  <c r="F182" i="36"/>
  <c r="D182" i="36"/>
  <c r="F178" i="36"/>
  <c r="D178" i="36"/>
  <c r="F175" i="36"/>
  <c r="D175" i="36"/>
  <c r="F169" i="36"/>
  <c r="D169" i="36"/>
  <c r="F162" i="36"/>
  <c r="D162" i="36"/>
  <c r="F156" i="36"/>
  <c r="D156" i="36"/>
  <c r="D152" i="36" s="1"/>
  <c r="F153" i="36"/>
  <c r="D153" i="36"/>
  <c r="H150" i="36"/>
  <c r="G148" i="36"/>
  <c r="E148" i="38" s="1"/>
  <c r="F137" i="36"/>
  <c r="D137" i="36"/>
  <c r="G135" i="36"/>
  <c r="F132" i="36"/>
  <c r="F131" i="36" s="1"/>
  <c r="D132" i="36"/>
  <c r="D131" i="36" s="1"/>
  <c r="D125" i="36"/>
  <c r="D124" i="36"/>
  <c r="D123" i="36" s="1"/>
  <c r="F119" i="36"/>
  <c r="D119" i="36"/>
  <c r="F116" i="36"/>
  <c r="F115" i="36" s="1"/>
  <c r="D116" i="36"/>
  <c r="D115" i="36" s="1"/>
  <c r="F109" i="36"/>
  <c r="D109" i="36"/>
  <c r="F106" i="36"/>
  <c r="F104" i="36" s="1"/>
  <c r="D106" i="36"/>
  <c r="D104" i="36" s="1"/>
  <c r="F97" i="36"/>
  <c r="F96" i="36" s="1"/>
  <c r="F18" i="37" s="1"/>
  <c r="D97" i="36"/>
  <c r="D96" i="36" s="1"/>
  <c r="F93" i="36"/>
  <c r="F92" i="36" s="1"/>
  <c r="F91" i="36" s="1"/>
  <c r="D93" i="36"/>
  <c r="D92" i="36" s="1"/>
  <c r="D91" i="36" s="1"/>
  <c r="D88" i="36"/>
  <c r="D87" i="36"/>
  <c r="D86" i="36" s="1"/>
  <c r="F83" i="36"/>
  <c r="D83" i="36"/>
  <c r="F81" i="36"/>
  <c r="F80" i="36" s="1"/>
  <c r="F79" i="36" s="1"/>
  <c r="D81" i="36"/>
  <c r="F76" i="36"/>
  <c r="F75" i="36" s="1"/>
  <c r="F74" i="36" s="1"/>
  <c r="D76" i="36"/>
  <c r="D75" i="36" s="1"/>
  <c r="D74" i="36" s="1"/>
  <c r="D71" i="36"/>
  <c r="D70" i="36" s="1"/>
  <c r="D68" i="36"/>
  <c r="D66" i="36"/>
  <c r="D64" i="36"/>
  <c r="D61" i="36"/>
  <c r="D59" i="36"/>
  <c r="D54" i="36"/>
  <c r="D53" i="36" s="1"/>
  <c r="D52" i="36" s="1"/>
  <c r="D49" i="36"/>
  <c r="D48" i="36" s="1"/>
  <c r="D47" i="36" s="1"/>
  <c r="F43" i="36"/>
  <c r="F42" i="36" s="1"/>
  <c r="F41" i="36" s="1"/>
  <c r="D43" i="36"/>
  <c r="D42" i="36" s="1"/>
  <c r="D41" i="36" s="1"/>
  <c r="D40" i="36" s="1"/>
  <c r="F37" i="36"/>
  <c r="D37" i="36"/>
  <c r="F31" i="36"/>
  <c r="D31" i="36"/>
  <c r="D30" i="36" s="1"/>
  <c r="D29" i="36" s="1"/>
  <c r="F16" i="36"/>
  <c r="D16" i="36"/>
  <c r="F13" i="37"/>
  <c r="H372" i="54" l="1"/>
  <c r="E372" i="57"/>
  <c r="E365" i="57" s="1"/>
  <c r="E366" i="57"/>
  <c r="G367" i="57"/>
  <c r="H375" i="57"/>
  <c r="H434" i="52"/>
  <c r="G431" i="52"/>
  <c r="H431" i="52" s="1"/>
  <c r="G418" i="49"/>
  <c r="H418" i="49" s="1"/>
  <c r="H419" i="49"/>
  <c r="G420" i="52"/>
  <c r="E420" i="54" s="1"/>
  <c r="E419" i="52"/>
  <c r="E418" i="52" s="1"/>
  <c r="E417" i="52" s="1"/>
  <c r="H367" i="54"/>
  <c r="G366" i="54"/>
  <c r="H366" i="54" s="1"/>
  <c r="G365" i="54"/>
  <c r="H365" i="52"/>
  <c r="G417" i="49"/>
  <c r="H417" i="49" s="1"/>
  <c r="I425" i="46"/>
  <c r="J425" i="46"/>
  <c r="H436" i="36"/>
  <c r="E232" i="38"/>
  <c r="G232" i="38" s="1"/>
  <c r="E235" i="40" s="1"/>
  <c r="G235" i="40" s="1"/>
  <c r="E235" i="42" s="1"/>
  <c r="G235" i="42" s="1"/>
  <c r="E236" i="38"/>
  <c r="G236" i="38" s="1"/>
  <c r="E239" i="40" s="1"/>
  <c r="G239" i="40" s="1"/>
  <c r="E239" i="42" s="1"/>
  <c r="G239" i="42" s="1"/>
  <c r="E233" i="38"/>
  <c r="G233" i="38" s="1"/>
  <c r="E236" i="40" s="1"/>
  <c r="G236" i="40" s="1"/>
  <c r="E236" i="42" s="1"/>
  <c r="G236" i="42" s="1"/>
  <c r="E237" i="38"/>
  <c r="G237" i="38" s="1"/>
  <c r="E240" i="40" s="1"/>
  <c r="G240" i="40" s="1"/>
  <c r="E240" i="42" s="1"/>
  <c r="G240" i="42" s="1"/>
  <c r="E234" i="38"/>
  <c r="G234" i="38" s="1"/>
  <c r="E237" i="40" s="1"/>
  <c r="G237" i="40" s="1"/>
  <c r="E237" i="42" s="1"/>
  <c r="G237" i="42" s="1"/>
  <c r="E238" i="38"/>
  <c r="G238" i="38" s="1"/>
  <c r="E241" i="40" s="1"/>
  <c r="G241" i="40" s="1"/>
  <c r="E241" i="42" s="1"/>
  <c r="G241" i="42" s="1"/>
  <c r="E231" i="38"/>
  <c r="E235" i="38"/>
  <c r="G235" i="38" s="1"/>
  <c r="E238" i="40" s="1"/>
  <c r="G238" i="40" s="1"/>
  <c r="E238" i="42" s="1"/>
  <c r="G238" i="42" s="1"/>
  <c r="E239" i="38"/>
  <c r="G239" i="38" s="1"/>
  <c r="E242" i="40" s="1"/>
  <c r="G242" i="40" s="1"/>
  <c r="E242" i="42" s="1"/>
  <c r="G242" i="42" s="1"/>
  <c r="E280" i="38"/>
  <c r="G281" i="38"/>
  <c r="E284" i="40" s="1"/>
  <c r="F152" i="36"/>
  <c r="H246" i="36"/>
  <c r="E246" i="38"/>
  <c r="G246" i="38" s="1"/>
  <c r="H246" i="38" s="1"/>
  <c r="H258" i="36"/>
  <c r="E258" i="38"/>
  <c r="G258" i="38" s="1"/>
  <c r="H258" i="38" s="1"/>
  <c r="H243" i="36"/>
  <c r="E243" i="38"/>
  <c r="G243" i="38" s="1"/>
  <c r="H243" i="38" s="1"/>
  <c r="H247" i="36"/>
  <c r="E247" i="38"/>
  <c r="G247" i="38" s="1"/>
  <c r="H247" i="38" s="1"/>
  <c r="H251" i="36"/>
  <c r="E251" i="38"/>
  <c r="G251" i="38" s="1"/>
  <c r="H251" i="38" s="1"/>
  <c r="H255" i="36"/>
  <c r="E255" i="38"/>
  <c r="G255" i="38" s="1"/>
  <c r="H255" i="38" s="1"/>
  <c r="H322" i="36"/>
  <c r="F363" i="36"/>
  <c r="F26" i="37" s="1"/>
  <c r="H373" i="36"/>
  <c r="H35" i="37"/>
  <c r="E35" i="39"/>
  <c r="H250" i="36"/>
  <c r="E250" i="38"/>
  <c r="G250" i="38" s="1"/>
  <c r="H250" i="38" s="1"/>
  <c r="D63" i="36"/>
  <c r="H244" i="36"/>
  <c r="E244" i="38"/>
  <c r="G244" i="38" s="1"/>
  <c r="H244" i="38" s="1"/>
  <c r="H248" i="36"/>
  <c r="E248" i="38"/>
  <c r="G248" i="38" s="1"/>
  <c r="H248" i="38" s="1"/>
  <c r="H252" i="36"/>
  <c r="E252" i="38"/>
  <c r="G252" i="38" s="1"/>
  <c r="H252" i="38" s="1"/>
  <c r="H256" i="36"/>
  <c r="E256" i="38"/>
  <c r="G256" i="38" s="1"/>
  <c r="H256" i="38" s="1"/>
  <c r="F441" i="36"/>
  <c r="F440" i="36" s="1"/>
  <c r="F439" i="36" s="1"/>
  <c r="F34" i="37"/>
  <c r="H148" i="36"/>
  <c r="H254" i="36"/>
  <c r="E254" i="38"/>
  <c r="G254" i="38" s="1"/>
  <c r="H254" i="38" s="1"/>
  <c r="H241" i="36"/>
  <c r="E241" i="38"/>
  <c r="H245" i="36"/>
  <c r="E245" i="38"/>
  <c r="G245" i="38" s="1"/>
  <c r="H245" i="38" s="1"/>
  <c r="H249" i="36"/>
  <c r="E249" i="38"/>
  <c r="G249" i="38" s="1"/>
  <c r="H249" i="38" s="1"/>
  <c r="H253" i="36"/>
  <c r="E253" i="38"/>
  <c r="G253" i="38" s="1"/>
  <c r="H253" i="38" s="1"/>
  <c r="H257" i="36"/>
  <c r="E257" i="38"/>
  <c r="G257" i="38" s="1"/>
  <c r="H257" i="38" s="1"/>
  <c r="G319" i="36"/>
  <c r="D348" i="36"/>
  <c r="F40" i="36"/>
  <c r="H374" i="36"/>
  <c r="H377" i="36"/>
  <c r="D441" i="36"/>
  <c r="D440" i="36" s="1"/>
  <c r="D439" i="36" s="1"/>
  <c r="G326" i="36"/>
  <c r="G335" i="36"/>
  <c r="H335" i="36" s="1"/>
  <c r="G339" i="36"/>
  <c r="H339" i="36" s="1"/>
  <c r="G353" i="36"/>
  <c r="H456" i="36"/>
  <c r="H320" i="36"/>
  <c r="G345" i="36"/>
  <c r="H345" i="36" s="1"/>
  <c r="H371" i="36"/>
  <c r="H344" i="36"/>
  <c r="G360" i="36"/>
  <c r="H409" i="36"/>
  <c r="F161" i="36"/>
  <c r="F160" i="36" s="1"/>
  <c r="F159" i="36" s="1"/>
  <c r="F102" i="36" s="1"/>
  <c r="F19" i="37" s="1"/>
  <c r="F229" i="36"/>
  <c r="F228" i="36" s="1"/>
  <c r="D228" i="36"/>
  <c r="H343" i="36"/>
  <c r="G351" i="36"/>
  <c r="G367" i="36"/>
  <c r="H367" i="36" s="1"/>
  <c r="H390" i="36"/>
  <c r="G396" i="36"/>
  <c r="H396" i="36" s="1"/>
  <c r="G402" i="36"/>
  <c r="H402" i="36" s="1"/>
  <c r="H410" i="36"/>
  <c r="D58" i="36"/>
  <c r="D57" i="36" s="1"/>
  <c r="D80" i="36"/>
  <c r="D79" i="36" s="1"/>
  <c r="D161" i="36"/>
  <c r="D160" i="36" s="1"/>
  <c r="D159" i="36" s="1"/>
  <c r="D102" i="36" s="1"/>
  <c r="F297" i="36"/>
  <c r="D297" i="36"/>
  <c r="H319" i="36"/>
  <c r="H376" i="36"/>
  <c r="G379" i="36"/>
  <c r="H379" i="36" s="1"/>
  <c r="F30" i="36"/>
  <c r="F29" i="36" s="1"/>
  <c r="G337" i="36"/>
  <c r="H337" i="36" s="1"/>
  <c r="H338" i="36"/>
  <c r="G405" i="36"/>
  <c r="H405" i="36" s="1"/>
  <c r="H406" i="36"/>
  <c r="F49" i="36"/>
  <c r="F48" i="36" s="1"/>
  <c r="F47" i="36" s="1"/>
  <c r="H281" i="36"/>
  <c r="H326" i="36"/>
  <c r="H433" i="36"/>
  <c r="G432" i="36"/>
  <c r="H432" i="36" s="1"/>
  <c r="H242" i="36"/>
  <c r="G240" i="36"/>
  <c r="H240" i="36" s="1"/>
  <c r="F348" i="36"/>
  <c r="G349" i="36"/>
  <c r="G364" i="36"/>
  <c r="H364" i="36" s="1"/>
  <c r="H365" i="36"/>
  <c r="D363" i="36"/>
  <c r="G393" i="36"/>
  <c r="H393" i="36" s="1"/>
  <c r="H394" i="36"/>
  <c r="D429" i="36"/>
  <c r="D415" i="36" s="1"/>
  <c r="F432" i="36"/>
  <c r="F429" i="36" s="1"/>
  <c r="H434" i="36"/>
  <c r="H442" i="36"/>
  <c r="G441" i="36"/>
  <c r="G382" i="36"/>
  <c r="H382" i="36" s="1"/>
  <c r="H383" i="36"/>
  <c r="G358" i="36"/>
  <c r="G399" i="36"/>
  <c r="H399" i="36" s="1"/>
  <c r="H400" i="36"/>
  <c r="G408" i="36"/>
  <c r="H408" i="36" s="1"/>
  <c r="H443" i="36"/>
  <c r="G230" i="36"/>
  <c r="H283" i="36"/>
  <c r="G282" i="36"/>
  <c r="H282" i="36" s="1"/>
  <c r="F325" i="36"/>
  <c r="G356" i="36"/>
  <c r="G417" i="36"/>
  <c r="G430" i="36"/>
  <c r="D325" i="36"/>
  <c r="G341" i="36"/>
  <c r="H341" i="36" s="1"/>
  <c r="H342" i="36"/>
  <c r="H370" i="36"/>
  <c r="F50" i="34"/>
  <c r="G365" i="57" l="1"/>
  <c r="H365" i="57" s="1"/>
  <c r="E419" i="54"/>
  <c r="E418" i="54" s="1"/>
  <c r="E417" i="54" s="1"/>
  <c r="G420" i="54"/>
  <c r="G366" i="57"/>
  <c r="H366" i="57" s="1"/>
  <c r="H367" i="57"/>
  <c r="H365" i="54"/>
  <c r="H420" i="52"/>
  <c r="G419" i="52"/>
  <c r="G284" i="40"/>
  <c r="E283" i="40"/>
  <c r="E241" i="44"/>
  <c r="G241" i="44" s="1"/>
  <c r="F244" i="46" s="1"/>
  <c r="H244" i="46" s="1"/>
  <c r="E236" i="44"/>
  <c r="G236" i="44" s="1"/>
  <c r="F239" i="46" s="1"/>
  <c r="H239" i="46" s="1"/>
  <c r="D295" i="36"/>
  <c r="D227" i="36" s="1"/>
  <c r="D226" i="36" s="1"/>
  <c r="D225" i="36" s="1"/>
  <c r="F23" i="37"/>
  <c r="E239" i="44"/>
  <c r="G239" i="44" s="1"/>
  <c r="F242" i="46" s="1"/>
  <c r="H242" i="46" s="1"/>
  <c r="E242" i="44"/>
  <c r="G242" i="44" s="1"/>
  <c r="F245" i="46" s="1"/>
  <c r="H245" i="46" s="1"/>
  <c r="E237" i="44"/>
  <c r="G237" i="44" s="1"/>
  <c r="F240" i="46" s="1"/>
  <c r="H240" i="46" s="1"/>
  <c r="E235" i="44"/>
  <c r="G235" i="44" s="1"/>
  <c r="F238" i="46" s="1"/>
  <c r="H238" i="46" s="1"/>
  <c r="G348" i="36"/>
  <c r="E238" i="44"/>
  <c r="G238" i="44" s="1"/>
  <c r="F241" i="46" s="1"/>
  <c r="H241" i="46" s="1"/>
  <c r="E240" i="44"/>
  <c r="G240" i="44" s="1"/>
  <c r="F243" i="46" s="1"/>
  <c r="H243" i="46" s="1"/>
  <c r="G280" i="38"/>
  <c r="H280" i="38" s="1"/>
  <c r="H281" i="38"/>
  <c r="E230" i="38"/>
  <c r="G231" i="38"/>
  <c r="F415" i="36"/>
  <c r="F29" i="37" s="1"/>
  <c r="F30" i="37"/>
  <c r="G241" i="38"/>
  <c r="E240" i="38"/>
  <c r="E229" i="38" s="1"/>
  <c r="D14" i="36"/>
  <c r="D12" i="36" s="1"/>
  <c r="D11" i="36" s="1"/>
  <c r="D459" i="36" s="1"/>
  <c r="G363" i="36"/>
  <c r="G280" i="36"/>
  <c r="H280" i="36" s="1"/>
  <c r="H417" i="36"/>
  <c r="G416" i="36"/>
  <c r="G229" i="36"/>
  <c r="H230" i="36"/>
  <c r="H441" i="36"/>
  <c r="G440" i="36"/>
  <c r="H363" i="36"/>
  <c r="G429" i="36"/>
  <c r="H429" i="36" s="1"/>
  <c r="G325" i="36"/>
  <c r="H325" i="36" s="1"/>
  <c r="F295" i="36"/>
  <c r="F227" i="36" s="1"/>
  <c r="F226" i="36" s="1"/>
  <c r="F225" i="36" s="1"/>
  <c r="E420" i="57" l="1"/>
  <c r="G419" i="54"/>
  <c r="H420" i="54"/>
  <c r="H419" i="52"/>
  <c r="G418" i="52"/>
  <c r="E245" i="49"/>
  <c r="G245" i="49" s="1"/>
  <c r="E245" i="52" s="1"/>
  <c r="G245" i="52" s="1"/>
  <c r="J244" i="46"/>
  <c r="E241" i="49"/>
  <c r="G241" i="49" s="1"/>
  <c r="E241" i="52" s="1"/>
  <c r="G241" i="52" s="1"/>
  <c r="J240" i="46"/>
  <c r="E246" i="49"/>
  <c r="G246" i="49" s="1"/>
  <c r="E246" i="52" s="1"/>
  <c r="G246" i="52" s="1"/>
  <c r="E246" i="54" s="1"/>
  <c r="G246" i="54" s="1"/>
  <c r="E246" i="57" s="1"/>
  <c r="G246" i="57" s="1"/>
  <c r="J245" i="46"/>
  <c r="E244" i="49"/>
  <c r="G244" i="49" s="1"/>
  <c r="E244" i="52" s="1"/>
  <c r="G244" i="52" s="1"/>
  <c r="E244" i="54" s="1"/>
  <c r="G244" i="54" s="1"/>
  <c r="E244" i="57" s="1"/>
  <c r="G244" i="57" s="1"/>
  <c r="J243" i="46"/>
  <c r="E243" i="49"/>
  <c r="G243" i="49" s="1"/>
  <c r="E243" i="52" s="1"/>
  <c r="G243" i="52" s="1"/>
  <c r="E243" i="54" s="1"/>
  <c r="G243" i="54" s="1"/>
  <c r="E243" i="57" s="1"/>
  <c r="G243" i="57" s="1"/>
  <c r="J242" i="46"/>
  <c r="E242" i="49"/>
  <c r="G242" i="49" s="1"/>
  <c r="E242" i="52" s="1"/>
  <c r="G242" i="52" s="1"/>
  <c r="E242" i="54" s="1"/>
  <c r="G242" i="54" s="1"/>
  <c r="E242" i="57" s="1"/>
  <c r="G242" i="57" s="1"/>
  <c r="J241" i="46"/>
  <c r="E240" i="49"/>
  <c r="G240" i="49" s="1"/>
  <c r="E240" i="52" s="1"/>
  <c r="G240" i="52" s="1"/>
  <c r="E240" i="54" s="1"/>
  <c r="G240" i="54" s="1"/>
  <c r="E240" i="57" s="1"/>
  <c r="G240" i="57" s="1"/>
  <c r="J239" i="46"/>
  <c r="E239" i="49"/>
  <c r="G239" i="49" s="1"/>
  <c r="E239" i="52" s="1"/>
  <c r="G239" i="52" s="1"/>
  <c r="E239" i="54" s="1"/>
  <c r="J238" i="46"/>
  <c r="E286" i="42"/>
  <c r="H284" i="40"/>
  <c r="G283" i="40"/>
  <c r="H283" i="40" s="1"/>
  <c r="G230" i="38"/>
  <c r="H230" i="38" s="1"/>
  <c r="E234" i="40"/>
  <c r="H241" i="38"/>
  <c r="G240" i="38"/>
  <c r="F25" i="37"/>
  <c r="H229" i="36"/>
  <c r="H440" i="36"/>
  <c r="G439" i="36"/>
  <c r="H439" i="36" s="1"/>
  <c r="H416" i="36"/>
  <c r="G415" i="36"/>
  <c r="H415" i="36" s="1"/>
  <c r="F112" i="34"/>
  <c r="F195" i="34"/>
  <c r="F188" i="34"/>
  <c r="F185" i="34"/>
  <c r="F182" i="34"/>
  <c r="F175" i="34"/>
  <c r="F178" i="34"/>
  <c r="F191" i="34"/>
  <c r="F162" i="34"/>
  <c r="H419" i="54" l="1"/>
  <c r="G418" i="54"/>
  <c r="E419" i="57"/>
  <c r="E418" i="57" s="1"/>
  <c r="E417" i="57" s="1"/>
  <c r="G420" i="57"/>
  <c r="G239" i="54"/>
  <c r="E237" i="54"/>
  <c r="E236" i="54" s="1"/>
  <c r="E235" i="54" s="1"/>
  <c r="H418" i="52"/>
  <c r="G417" i="52"/>
  <c r="H417" i="52" s="1"/>
  <c r="E285" i="42"/>
  <c r="G286" i="42"/>
  <c r="E233" i="40"/>
  <c r="E232" i="40" s="1"/>
  <c r="G234" i="40"/>
  <c r="H240" i="38"/>
  <c r="G229" i="38"/>
  <c r="H229" i="38" s="1"/>
  <c r="F119" i="34"/>
  <c r="H420" i="57" l="1"/>
  <c r="G419" i="57"/>
  <c r="G417" i="54"/>
  <c r="H417" i="54" s="1"/>
  <c r="H418" i="54"/>
  <c r="E239" i="57"/>
  <c r="G237" i="54"/>
  <c r="G236" i="54" s="1"/>
  <c r="G235" i="54" s="1"/>
  <c r="G285" i="42"/>
  <c r="H285" i="42" s="1"/>
  <c r="E286" i="44"/>
  <c r="H286" i="42"/>
  <c r="G233" i="40"/>
  <c r="G232" i="40" s="1"/>
  <c r="E234" i="42"/>
  <c r="E232" i="42" s="1"/>
  <c r="F276" i="34"/>
  <c r="F169" i="34"/>
  <c r="F161" i="34" s="1"/>
  <c r="F160" i="34" s="1"/>
  <c r="F159" i="34" s="1"/>
  <c r="F137" i="34"/>
  <c r="F125" i="34"/>
  <c r="F76" i="34"/>
  <c r="F68" i="34"/>
  <c r="F64" i="34"/>
  <c r="F61" i="34"/>
  <c r="F59" i="34"/>
  <c r="F54" i="34"/>
  <c r="F53" i="34" s="1"/>
  <c r="F52" i="34" s="1"/>
  <c r="F49" i="34"/>
  <c r="F48" i="34" s="1"/>
  <c r="F47" i="34" s="1"/>
  <c r="F43" i="34"/>
  <c r="F42" i="34" s="1"/>
  <c r="F41" i="34" s="1"/>
  <c r="F31" i="34"/>
  <c r="F16" i="34"/>
  <c r="G418" i="57" l="1"/>
  <c r="H419" i="57"/>
  <c r="H237" i="54"/>
  <c r="G239" i="57"/>
  <c r="G237" i="57" s="1"/>
  <c r="G236" i="57" s="1"/>
  <c r="G235" i="57" s="1"/>
  <c r="E237" i="57"/>
  <c r="E236" i="57" s="1"/>
  <c r="E235" i="57" s="1"/>
  <c r="G286" i="44"/>
  <c r="F289" i="46" s="1"/>
  <c r="F288" i="46" s="1"/>
  <c r="E285" i="44"/>
  <c r="H289" i="46"/>
  <c r="J289" i="46" s="1"/>
  <c r="H233" i="40"/>
  <c r="G234" i="42"/>
  <c r="H232" i="40"/>
  <c r="F58" i="34"/>
  <c r="F40" i="34"/>
  <c r="F41" i="35"/>
  <c r="F40" i="35"/>
  <c r="F39" i="35"/>
  <c r="H39" i="35" s="1"/>
  <c r="F38" i="35"/>
  <c r="H38" i="35" s="1"/>
  <c r="F37" i="35"/>
  <c r="H35" i="35"/>
  <c r="G35" i="35"/>
  <c r="E35" i="37" s="1"/>
  <c r="D33" i="35"/>
  <c r="D32" i="35" s="1"/>
  <c r="D31" i="35" s="1"/>
  <c r="E31" i="35"/>
  <c r="D28" i="35"/>
  <c r="D22" i="35"/>
  <c r="D21" i="35" s="1"/>
  <c r="D20" i="35" s="1"/>
  <c r="D14" i="35"/>
  <c r="D12" i="35"/>
  <c r="F468" i="34"/>
  <c r="I468" i="34" s="1"/>
  <c r="D468" i="34"/>
  <c r="F467" i="34"/>
  <c r="D467" i="34"/>
  <c r="F466" i="34"/>
  <c r="D466" i="34"/>
  <c r="F465" i="34"/>
  <c r="D465" i="34"/>
  <c r="F464" i="34"/>
  <c r="D464" i="34"/>
  <c r="F463" i="34"/>
  <c r="I463" i="34" s="1"/>
  <c r="D463" i="34"/>
  <c r="F462" i="34"/>
  <c r="I462" i="34" s="1"/>
  <c r="D462" i="34"/>
  <c r="F461" i="34"/>
  <c r="I461" i="34" s="1"/>
  <c r="D461" i="34"/>
  <c r="I460" i="34"/>
  <c r="H457" i="34"/>
  <c r="G456" i="34"/>
  <c r="F456" i="34"/>
  <c r="D456" i="34"/>
  <c r="H451" i="34"/>
  <c r="H446" i="34"/>
  <c r="H445" i="34"/>
  <c r="H444" i="34"/>
  <c r="G443" i="34"/>
  <c r="H443" i="34" s="1"/>
  <c r="F442" i="34"/>
  <c r="D442" i="34"/>
  <c r="G438" i="34"/>
  <c r="H438" i="34" s="1"/>
  <c r="G437" i="34"/>
  <c r="H437" i="34" s="1"/>
  <c r="F436" i="34"/>
  <c r="D436" i="34"/>
  <c r="G435" i="34"/>
  <c r="H435" i="34" s="1"/>
  <c r="G434" i="34"/>
  <c r="G433" i="34" s="1"/>
  <c r="F433" i="34"/>
  <c r="D433" i="34"/>
  <c r="D432" i="34" s="1"/>
  <c r="G431" i="34"/>
  <c r="F430" i="34"/>
  <c r="D430" i="34"/>
  <c r="G430" i="34" s="1"/>
  <c r="G427" i="34"/>
  <c r="H427" i="34" s="1"/>
  <c r="G426" i="34"/>
  <c r="H426" i="34" s="1"/>
  <c r="G425" i="34"/>
  <c r="H425" i="34" s="1"/>
  <c r="G424" i="34"/>
  <c r="H424" i="34" s="1"/>
  <c r="G423" i="34"/>
  <c r="H423" i="34" s="1"/>
  <c r="G422" i="34"/>
  <c r="H422" i="34" s="1"/>
  <c r="G421" i="34"/>
  <c r="H421" i="34" s="1"/>
  <c r="G420" i="34"/>
  <c r="H420" i="34" s="1"/>
  <c r="G419" i="34"/>
  <c r="H419" i="34" s="1"/>
  <c r="G418" i="34"/>
  <c r="H418" i="34" s="1"/>
  <c r="F417" i="34"/>
  <c r="F416" i="34" s="1"/>
  <c r="D417" i="34"/>
  <c r="D416" i="34" s="1"/>
  <c r="G413" i="34"/>
  <c r="G412" i="34"/>
  <c r="G411" i="34"/>
  <c r="G410" i="34"/>
  <c r="G409" i="34" s="1"/>
  <c r="F409" i="34"/>
  <c r="F408" i="34" s="1"/>
  <c r="D409" i="34"/>
  <c r="D408" i="34" s="1"/>
  <c r="G406" i="34"/>
  <c r="G405" i="34" s="1"/>
  <c r="F405" i="34"/>
  <c r="D405" i="34"/>
  <c r="G403" i="34"/>
  <c r="G402" i="34" s="1"/>
  <c r="F402" i="34"/>
  <c r="D402" i="34"/>
  <c r="G400" i="34"/>
  <c r="G399" i="34" s="1"/>
  <c r="F399" i="34"/>
  <c r="D399" i="34"/>
  <c r="G397" i="34"/>
  <c r="G396" i="34" s="1"/>
  <c r="F396" i="34"/>
  <c r="D396" i="34"/>
  <c r="G394" i="34"/>
  <c r="G393" i="34" s="1"/>
  <c r="F393" i="34"/>
  <c r="D393" i="34"/>
  <c r="G391" i="34"/>
  <c r="H391" i="34" s="1"/>
  <c r="F390" i="34"/>
  <c r="G390" i="34" s="1"/>
  <c r="D390" i="34"/>
  <c r="G389" i="34"/>
  <c r="G388" i="34"/>
  <c r="G387" i="34"/>
  <c r="H387" i="34" s="1"/>
  <c r="G386" i="34"/>
  <c r="G385" i="34"/>
  <c r="H385" i="34" s="1"/>
  <c r="G384" i="34"/>
  <c r="H384" i="34" s="1"/>
  <c r="G383" i="34"/>
  <c r="H383" i="34" s="1"/>
  <c r="F382" i="34"/>
  <c r="D382" i="34"/>
  <c r="G380" i="34"/>
  <c r="H380" i="34" s="1"/>
  <c r="F379" i="34"/>
  <c r="D379" i="34"/>
  <c r="G377" i="34"/>
  <c r="G376" i="34" s="1"/>
  <c r="F376" i="34"/>
  <c r="D376" i="34"/>
  <c r="G374" i="34"/>
  <c r="H374" i="34" s="1"/>
  <c r="F373" i="34"/>
  <c r="D373" i="34"/>
  <c r="G371" i="34"/>
  <c r="H371" i="34" s="1"/>
  <c r="F370" i="34"/>
  <c r="D370" i="34"/>
  <c r="G368" i="34"/>
  <c r="H368" i="34" s="1"/>
  <c r="F367" i="34"/>
  <c r="D367" i="34"/>
  <c r="G365" i="34"/>
  <c r="H365" i="34" s="1"/>
  <c r="F364" i="34"/>
  <c r="D364" i="34"/>
  <c r="G361" i="34"/>
  <c r="F360" i="34"/>
  <c r="G360" i="34" s="1"/>
  <c r="D360" i="34"/>
  <c r="G359" i="34"/>
  <c r="F358" i="34"/>
  <c r="D358" i="34"/>
  <c r="G357" i="34"/>
  <c r="F356" i="34"/>
  <c r="D356" i="34"/>
  <c r="G355" i="34"/>
  <c r="G354" i="34"/>
  <c r="F353" i="34"/>
  <c r="D353" i="34"/>
  <c r="G352" i="34"/>
  <c r="F351" i="34"/>
  <c r="D351" i="34"/>
  <c r="G350" i="34"/>
  <c r="F349" i="34"/>
  <c r="D349" i="34"/>
  <c r="G346" i="34"/>
  <c r="H346" i="34" s="1"/>
  <c r="F345" i="34"/>
  <c r="D345" i="34"/>
  <c r="G344" i="34"/>
  <c r="G343" i="34" s="1"/>
  <c r="F343" i="34"/>
  <c r="E343" i="34"/>
  <c r="D343" i="34"/>
  <c r="G342" i="34"/>
  <c r="G341" i="34" s="1"/>
  <c r="F341" i="34"/>
  <c r="D341" i="34"/>
  <c r="G340" i="34"/>
  <c r="H340" i="34" s="1"/>
  <c r="F339" i="34"/>
  <c r="D339" i="34"/>
  <c r="G338" i="34"/>
  <c r="G337" i="34" s="1"/>
  <c r="F337" i="34"/>
  <c r="D337" i="34"/>
  <c r="G336" i="34"/>
  <c r="H336" i="34" s="1"/>
  <c r="F335" i="34"/>
  <c r="D335" i="34"/>
  <c r="G333" i="34"/>
  <c r="H333" i="34" s="1"/>
  <c r="G332" i="34"/>
  <c r="G331" i="34"/>
  <c r="G330" i="34"/>
  <c r="G329" i="34"/>
  <c r="G328" i="34"/>
  <c r="G327" i="34"/>
  <c r="F326" i="34"/>
  <c r="E326" i="34"/>
  <c r="D326" i="34"/>
  <c r="H323" i="34"/>
  <c r="G322" i="34"/>
  <c r="F322" i="34"/>
  <c r="E322" i="34"/>
  <c r="D322" i="34"/>
  <c r="G321" i="34"/>
  <c r="H321" i="34" s="1"/>
  <c r="G320" i="34"/>
  <c r="H320" i="34" s="1"/>
  <c r="F319" i="34"/>
  <c r="E319" i="34"/>
  <c r="D319" i="34"/>
  <c r="G318" i="34"/>
  <c r="F317" i="34"/>
  <c r="G317" i="34" s="1"/>
  <c r="D317" i="34"/>
  <c r="G316" i="34"/>
  <c r="G315" i="34" s="1"/>
  <c r="F315" i="34"/>
  <c r="E315" i="34"/>
  <c r="D315" i="34"/>
  <c r="G314" i="34"/>
  <c r="F313" i="34"/>
  <c r="E313" i="34"/>
  <c r="D313" i="34"/>
  <c r="G312" i="34"/>
  <c r="E312" i="36" s="1"/>
  <c r="G312" i="36" s="1"/>
  <c r="G311" i="34"/>
  <c r="E311" i="36" s="1"/>
  <c r="G311" i="36" s="1"/>
  <c r="D311" i="34"/>
  <c r="G310" i="34"/>
  <c r="E310" i="36" s="1"/>
  <c r="G310" i="36" s="1"/>
  <c r="G309" i="34"/>
  <c r="E309" i="36" s="1"/>
  <c r="G309" i="36" s="1"/>
  <c r="D309" i="34"/>
  <c r="G308" i="34"/>
  <c r="G307" i="34"/>
  <c r="G306" i="34"/>
  <c r="G305" i="34"/>
  <c r="G304" i="34"/>
  <c r="E304" i="36" s="1"/>
  <c r="F303" i="34"/>
  <c r="E303" i="34"/>
  <c r="D303" i="34"/>
  <c r="G302" i="34"/>
  <c r="G301" i="34"/>
  <c r="G300" i="34"/>
  <c r="G299" i="34"/>
  <c r="F298" i="34"/>
  <c r="E298" i="34"/>
  <c r="D298" i="34"/>
  <c r="G291" i="34"/>
  <c r="F290" i="34"/>
  <c r="F288" i="34" s="1"/>
  <c r="D290" i="34"/>
  <c r="G286" i="34"/>
  <c r="G285" i="34" s="1"/>
  <c r="F285" i="34"/>
  <c r="D285" i="34"/>
  <c r="G283" i="34"/>
  <c r="F282" i="34"/>
  <c r="F280" i="34" s="1"/>
  <c r="D282" i="34"/>
  <c r="G281" i="34"/>
  <c r="E281" i="36" s="1"/>
  <c r="G279" i="34"/>
  <c r="G278" i="34"/>
  <c r="G274" i="34"/>
  <c r="G273" i="34"/>
  <c r="F272" i="34"/>
  <c r="D272" i="34"/>
  <c r="G270" i="34"/>
  <c r="G269" i="34"/>
  <c r="E269" i="36" s="1"/>
  <c r="F268" i="34"/>
  <c r="G266" i="34"/>
  <c r="G265" i="34"/>
  <c r="E265" i="36" s="1"/>
  <c r="F264" i="34"/>
  <c r="E264" i="34"/>
  <c r="D264" i="34"/>
  <c r="G262" i="34"/>
  <c r="G261" i="34"/>
  <c r="E261" i="36" s="1"/>
  <c r="G261" i="36" s="1"/>
  <c r="E261" i="38" s="1"/>
  <c r="F260" i="34"/>
  <c r="G258" i="34"/>
  <c r="H258" i="34" s="1"/>
  <c r="G257" i="34"/>
  <c r="H257" i="34" s="1"/>
  <c r="G256" i="34"/>
  <c r="H256" i="34" s="1"/>
  <c r="G255" i="34"/>
  <c r="H255" i="34" s="1"/>
  <c r="G254" i="34"/>
  <c r="H254" i="34" s="1"/>
  <c r="G253" i="34"/>
  <c r="H253" i="34" s="1"/>
  <c r="G252" i="34"/>
  <c r="H252" i="34" s="1"/>
  <c r="G251" i="34"/>
  <c r="H251" i="34" s="1"/>
  <c r="G250" i="34"/>
  <c r="H250" i="34" s="1"/>
  <c r="G249" i="34"/>
  <c r="H249" i="34" s="1"/>
  <c r="G248" i="34"/>
  <c r="H248" i="34" s="1"/>
  <c r="G247" i="34"/>
  <c r="H247" i="34" s="1"/>
  <c r="G246" i="34"/>
  <c r="H246" i="34" s="1"/>
  <c r="G245" i="34"/>
  <c r="H245" i="34" s="1"/>
  <c r="G244" i="34"/>
  <c r="H244" i="34" s="1"/>
  <c r="G243" i="34"/>
  <c r="H243" i="34" s="1"/>
  <c r="G242" i="34"/>
  <c r="G241" i="34"/>
  <c r="H241" i="34" s="1"/>
  <c r="F240" i="34"/>
  <c r="E240" i="34"/>
  <c r="D240" i="34"/>
  <c r="D229" i="34" s="1"/>
  <c r="G239" i="34"/>
  <c r="G238" i="34"/>
  <c r="G237" i="34"/>
  <c r="G236" i="34"/>
  <c r="G235" i="34"/>
  <c r="G234" i="34"/>
  <c r="G233" i="34"/>
  <c r="G232" i="34"/>
  <c r="G231" i="34"/>
  <c r="F230" i="34"/>
  <c r="E229" i="34"/>
  <c r="G222" i="34"/>
  <c r="G221" i="34"/>
  <c r="F220" i="34"/>
  <c r="F219" i="34" s="1"/>
  <c r="D220" i="34"/>
  <c r="D219" i="34" s="1"/>
  <c r="D216" i="34"/>
  <c r="D215" i="34" s="1"/>
  <c r="D214" i="34" s="1"/>
  <c r="D213" i="34" s="1"/>
  <c r="F201" i="34"/>
  <c r="F200" i="34" s="1"/>
  <c r="F199" i="34" s="1"/>
  <c r="D201" i="34"/>
  <c r="D200" i="34" s="1"/>
  <c r="D199" i="34" s="1"/>
  <c r="D195" i="34"/>
  <c r="D191" i="34"/>
  <c r="D188" i="34"/>
  <c r="D185" i="34"/>
  <c r="D182" i="34"/>
  <c r="D178" i="34"/>
  <c r="D175" i="34"/>
  <c r="D169" i="34"/>
  <c r="D162" i="34"/>
  <c r="F156" i="34"/>
  <c r="D156" i="34"/>
  <c r="G154" i="34"/>
  <c r="E154" i="36" s="1"/>
  <c r="E153" i="36" s="1"/>
  <c r="F153" i="34"/>
  <c r="D153" i="34"/>
  <c r="H150" i="34"/>
  <c r="G148" i="34"/>
  <c r="D137" i="34"/>
  <c r="G135" i="34"/>
  <c r="F132" i="34"/>
  <c r="F131" i="34" s="1"/>
  <c r="D132" i="34"/>
  <c r="D131" i="34" s="1"/>
  <c r="D125" i="34"/>
  <c r="F124" i="34"/>
  <c r="F123" i="34" s="1"/>
  <c r="D124" i="34"/>
  <c r="D123" i="34" s="1"/>
  <c r="D119" i="34"/>
  <c r="G117" i="34"/>
  <c r="F116" i="34"/>
  <c r="F115" i="34" s="1"/>
  <c r="D116" i="34"/>
  <c r="D115" i="34" s="1"/>
  <c r="D112" i="34"/>
  <c r="G110" i="34"/>
  <c r="F109" i="34"/>
  <c r="D109" i="34"/>
  <c r="G107" i="34"/>
  <c r="F106" i="34"/>
  <c r="F104" i="34" s="1"/>
  <c r="D106" i="34"/>
  <c r="D104" i="34" s="1"/>
  <c r="G100" i="34"/>
  <c r="G99" i="34"/>
  <c r="G98" i="34"/>
  <c r="F97" i="34"/>
  <c r="F96" i="34" s="1"/>
  <c r="F18" i="35" s="1"/>
  <c r="D97" i="34"/>
  <c r="D96" i="34" s="1"/>
  <c r="F93" i="34"/>
  <c r="F92" i="34" s="1"/>
  <c r="F91" i="34" s="1"/>
  <c r="D93" i="34"/>
  <c r="D92" i="34" s="1"/>
  <c r="D91" i="34" s="1"/>
  <c r="G89" i="34"/>
  <c r="E89" i="36" s="1"/>
  <c r="F88" i="34"/>
  <c r="D88" i="34"/>
  <c r="F87" i="34"/>
  <c r="F86" i="34" s="1"/>
  <c r="D87" i="34"/>
  <c r="D86" i="34" s="1"/>
  <c r="F83" i="34"/>
  <c r="D83" i="34"/>
  <c r="F81" i="34"/>
  <c r="D81" i="34"/>
  <c r="D76" i="34"/>
  <c r="D75" i="34" s="1"/>
  <c r="D74" i="34" s="1"/>
  <c r="D71" i="34"/>
  <c r="D70" i="34" s="1"/>
  <c r="D68" i="34"/>
  <c r="F66" i="34"/>
  <c r="F63" i="34" s="1"/>
  <c r="D66" i="34"/>
  <c r="D64" i="34"/>
  <c r="D61" i="34"/>
  <c r="D59" i="34"/>
  <c r="D54" i="34"/>
  <c r="D53" i="34" s="1"/>
  <c r="D52" i="34" s="1"/>
  <c r="D49" i="34"/>
  <c r="D48" i="34" s="1"/>
  <c r="D47" i="34" s="1"/>
  <c r="D43" i="34"/>
  <c r="D42" i="34" s="1"/>
  <c r="D41" i="34" s="1"/>
  <c r="D40" i="34" s="1"/>
  <c r="F37" i="34"/>
  <c r="D37" i="34"/>
  <c r="G35" i="34"/>
  <c r="D31" i="34"/>
  <c r="D16" i="34"/>
  <c r="F13" i="35"/>
  <c r="G417" i="57" l="1"/>
  <c r="H417" i="57" s="1"/>
  <c r="H418" i="57"/>
  <c r="H237" i="57"/>
  <c r="H236" i="54"/>
  <c r="H288" i="46"/>
  <c r="J288" i="46" s="1"/>
  <c r="E281" i="49"/>
  <c r="F152" i="34"/>
  <c r="I289" i="46"/>
  <c r="I288" i="46"/>
  <c r="E35" i="44"/>
  <c r="G35" i="44" s="1"/>
  <c r="E35" i="42"/>
  <c r="G35" i="42" s="1"/>
  <c r="H35" i="42" s="1"/>
  <c r="G285" i="44"/>
  <c r="H285" i="44" s="1"/>
  <c r="H286" i="44"/>
  <c r="E234" i="44"/>
  <c r="E233" i="44" s="1"/>
  <c r="G261" i="38"/>
  <c r="E264" i="40" s="1"/>
  <c r="E99" i="36"/>
  <c r="H393" i="34"/>
  <c r="H405" i="34"/>
  <c r="E107" i="36"/>
  <c r="G107" i="36" s="1"/>
  <c r="E107" i="38" s="1"/>
  <c r="E106" i="38" s="1"/>
  <c r="E100" i="36"/>
  <c r="G100" i="36" s="1"/>
  <c r="E98" i="36"/>
  <c r="G98" i="36" s="1"/>
  <c r="E98" i="38" s="1"/>
  <c r="E117" i="36"/>
  <c r="E117" i="38" s="1"/>
  <c r="E116" i="38" s="1"/>
  <c r="E115" i="38" s="1"/>
  <c r="E222" i="36"/>
  <c r="H341" i="34"/>
  <c r="E35" i="38"/>
  <c r="E35" i="40"/>
  <c r="E148" i="36"/>
  <c r="H261" i="36"/>
  <c r="E268" i="36"/>
  <c r="G269" i="36"/>
  <c r="E269" i="38" s="1"/>
  <c r="H273" i="34"/>
  <c r="E273" i="36"/>
  <c r="H302" i="34"/>
  <c r="E302" i="36"/>
  <c r="G302" i="36" s="1"/>
  <c r="G304" i="36"/>
  <c r="H308" i="34"/>
  <c r="E308" i="36"/>
  <c r="G308" i="36" s="1"/>
  <c r="H308" i="36" s="1"/>
  <c r="H262" i="34"/>
  <c r="E262" i="36"/>
  <c r="G262" i="36" s="1"/>
  <c r="G265" i="36"/>
  <c r="E265" i="38" s="1"/>
  <c r="H270" i="34"/>
  <c r="E270" i="36"/>
  <c r="G270" i="36" s="1"/>
  <c r="H274" i="34"/>
  <c r="E274" i="36"/>
  <c r="G274" i="36" s="1"/>
  <c r="H291" i="34"/>
  <c r="E291" i="36"/>
  <c r="G291" i="36" s="1"/>
  <c r="E291" i="38" s="1"/>
  <c r="G291" i="38" s="1"/>
  <c r="H299" i="34"/>
  <c r="E299" i="36"/>
  <c r="H305" i="34"/>
  <c r="E305" i="36"/>
  <c r="G305" i="36" s="1"/>
  <c r="H305" i="36" s="1"/>
  <c r="H343" i="34"/>
  <c r="H266" i="34"/>
  <c r="E266" i="36"/>
  <c r="G266" i="36" s="1"/>
  <c r="H278" i="34"/>
  <c r="E278" i="36"/>
  <c r="G278" i="36" s="1"/>
  <c r="H300" i="34"/>
  <c r="E300" i="36"/>
  <c r="G300" i="36" s="1"/>
  <c r="H306" i="34"/>
  <c r="E306" i="36"/>
  <c r="G306" i="36" s="1"/>
  <c r="H306" i="36" s="1"/>
  <c r="G313" i="34"/>
  <c r="E314" i="36"/>
  <c r="H402" i="34"/>
  <c r="D80" i="34"/>
  <c r="D79" i="34" s="1"/>
  <c r="E88" i="36"/>
  <c r="E87" i="36"/>
  <c r="E86" i="36" s="1"/>
  <c r="G109" i="34"/>
  <c r="E110" i="36"/>
  <c r="G110" i="36" s="1"/>
  <c r="G220" i="34"/>
  <c r="H220" i="34" s="1"/>
  <c r="E221" i="36"/>
  <c r="H283" i="34"/>
  <c r="E283" i="36"/>
  <c r="H301" i="34"/>
  <c r="E301" i="36"/>
  <c r="G301" i="36" s="1"/>
  <c r="H307" i="34"/>
  <c r="E307" i="36"/>
  <c r="G307" i="36" s="1"/>
  <c r="H307" i="36" s="1"/>
  <c r="G442" i="34"/>
  <c r="H442" i="34" s="1"/>
  <c r="H456" i="34"/>
  <c r="H337" i="34"/>
  <c r="G358" i="34"/>
  <c r="G356" i="34"/>
  <c r="D152" i="34"/>
  <c r="G240" i="34"/>
  <c r="D297" i="34"/>
  <c r="G106" i="34"/>
  <c r="D58" i="34"/>
  <c r="H100" i="34"/>
  <c r="G116" i="34"/>
  <c r="H116" i="34" s="1"/>
  <c r="G117" i="36"/>
  <c r="G298" i="34"/>
  <c r="H298" i="34" s="1"/>
  <c r="G303" i="34"/>
  <c r="H303" i="34" s="1"/>
  <c r="H322" i="34"/>
  <c r="H338" i="34"/>
  <c r="H344" i="34"/>
  <c r="G349" i="34"/>
  <c r="G364" i="34"/>
  <c r="H364" i="34" s="1"/>
  <c r="G382" i="34"/>
  <c r="H382" i="34" s="1"/>
  <c r="H399" i="34"/>
  <c r="H99" i="34"/>
  <c r="G99" i="36"/>
  <c r="H148" i="34"/>
  <c r="G153" i="34"/>
  <c r="G154" i="36"/>
  <c r="E154" i="38" s="1"/>
  <c r="E153" i="38" s="1"/>
  <c r="H221" i="34"/>
  <c r="G221" i="36"/>
  <c r="E221" i="38" s="1"/>
  <c r="G221" i="38" s="1"/>
  <c r="F325" i="34"/>
  <c r="F348" i="34"/>
  <c r="H376" i="34"/>
  <c r="H396" i="34"/>
  <c r="D429" i="34"/>
  <c r="D415" i="34" s="1"/>
  <c r="H98" i="34"/>
  <c r="H222" i="34"/>
  <c r="G222" i="36"/>
  <c r="G264" i="34"/>
  <c r="H264" i="34" s="1"/>
  <c r="D325" i="34"/>
  <c r="G335" i="34"/>
  <c r="H335" i="34" s="1"/>
  <c r="H377" i="34"/>
  <c r="H390" i="34"/>
  <c r="F432" i="34"/>
  <c r="F429" i="34" s="1"/>
  <c r="F415" i="34" s="1"/>
  <c r="G35" i="38"/>
  <c r="H89" i="34"/>
  <c r="G89" i="36"/>
  <c r="E89" i="38" s="1"/>
  <c r="G87" i="34"/>
  <c r="G86" i="34" s="1"/>
  <c r="H86" i="34" s="1"/>
  <c r="H35" i="34"/>
  <c r="E35" i="36"/>
  <c r="G35" i="36" s="1"/>
  <c r="H35" i="36" s="1"/>
  <c r="F29" i="34"/>
  <c r="F15" i="35"/>
  <c r="H433" i="34"/>
  <c r="H117" i="34"/>
  <c r="G230" i="34"/>
  <c r="H242" i="34"/>
  <c r="G282" i="34"/>
  <c r="H282" i="34" s="1"/>
  <c r="H304" i="34"/>
  <c r="G326" i="34"/>
  <c r="H326" i="34" s="1"/>
  <c r="H394" i="34"/>
  <c r="H400" i="34"/>
  <c r="H406" i="34"/>
  <c r="H434" i="34"/>
  <c r="G436" i="34"/>
  <c r="H436" i="34" s="1"/>
  <c r="E297" i="34"/>
  <c r="E295" i="34" s="1"/>
  <c r="H342" i="34"/>
  <c r="D30" i="34"/>
  <c r="D29" i="34" s="1"/>
  <c r="D63" i="34"/>
  <c r="G88" i="34"/>
  <c r="H88" i="34" s="1"/>
  <c r="G97" i="34"/>
  <c r="H97" i="34" s="1"/>
  <c r="H154" i="34"/>
  <c r="D228" i="34"/>
  <c r="H265" i="34"/>
  <c r="H281" i="34"/>
  <c r="G319" i="34"/>
  <c r="H319" i="34" s="1"/>
  <c r="G339" i="34"/>
  <c r="H339" i="34" s="1"/>
  <c r="G353" i="34"/>
  <c r="D363" i="34"/>
  <c r="F363" i="34"/>
  <c r="F26" i="35" s="1"/>
  <c r="G417" i="34"/>
  <c r="G441" i="34"/>
  <c r="D161" i="34"/>
  <c r="D160" i="34" s="1"/>
  <c r="D159" i="34" s="1"/>
  <c r="D102" i="34" s="1"/>
  <c r="F229" i="34"/>
  <c r="F228" i="34" s="1"/>
  <c r="F23" i="35" s="1"/>
  <c r="F441" i="34"/>
  <c r="F440" i="34" s="1"/>
  <c r="F439" i="34" s="1"/>
  <c r="F297" i="34"/>
  <c r="G351" i="34"/>
  <c r="G370" i="34"/>
  <c r="H370" i="34" s="1"/>
  <c r="D441" i="34"/>
  <c r="D440" i="34" s="1"/>
  <c r="D439" i="34" s="1"/>
  <c r="D36" i="35"/>
  <c r="D42" i="35"/>
  <c r="D11" i="35"/>
  <c r="H37" i="35"/>
  <c r="F80" i="34"/>
  <c r="F79" i="34" s="1"/>
  <c r="F102" i="34"/>
  <c r="F19" i="35" s="1"/>
  <c r="G104" i="34"/>
  <c r="H106" i="34"/>
  <c r="H230" i="34"/>
  <c r="H409" i="34"/>
  <c r="G408" i="34"/>
  <c r="H408" i="34" s="1"/>
  <c r="F71" i="34"/>
  <c r="F70" i="34" s="1"/>
  <c r="F17" i="35" s="1"/>
  <c r="H107" i="34"/>
  <c r="G272" i="34"/>
  <c r="H272" i="34" s="1"/>
  <c r="G96" i="34"/>
  <c r="H96" i="34" s="1"/>
  <c r="H261" i="34"/>
  <c r="G260" i="34"/>
  <c r="H260" i="34" s="1"/>
  <c r="H153" i="34"/>
  <c r="G219" i="34"/>
  <c r="H219" i="34" s="1"/>
  <c r="H269" i="34"/>
  <c r="G268" i="34"/>
  <c r="H268" i="34" s="1"/>
  <c r="F75" i="34"/>
  <c r="F74" i="34" s="1"/>
  <c r="G290" i="34"/>
  <c r="G345" i="34"/>
  <c r="H345" i="34" s="1"/>
  <c r="D348" i="34"/>
  <c r="G367" i="34"/>
  <c r="H367" i="34" s="1"/>
  <c r="G373" i="34"/>
  <c r="G379" i="34"/>
  <c r="H379" i="34" s="1"/>
  <c r="H397" i="34"/>
  <c r="H403" i="34"/>
  <c r="H410" i="34"/>
  <c r="H236" i="57" l="1"/>
  <c r="H35" i="44"/>
  <c r="F35" i="46"/>
  <c r="H35" i="46" s="1"/>
  <c r="G281" i="49"/>
  <c r="E281" i="52" s="1"/>
  <c r="G281" i="52" s="1"/>
  <c r="E280" i="49"/>
  <c r="H232" i="42"/>
  <c r="E296" i="44"/>
  <c r="G296" i="44" s="1"/>
  <c r="F299" i="46" s="1"/>
  <c r="H299" i="46" s="1"/>
  <c r="E294" i="40"/>
  <c r="G294" i="40" s="1"/>
  <c r="E296" i="42"/>
  <c r="G296" i="42" s="1"/>
  <c r="F227" i="46"/>
  <c r="H227" i="46" s="1"/>
  <c r="E224" i="44"/>
  <c r="G224" i="44" s="1"/>
  <c r="E224" i="42"/>
  <c r="G224" i="42" s="1"/>
  <c r="E224" i="40"/>
  <c r="G224" i="40" s="1"/>
  <c r="H224" i="40" s="1"/>
  <c r="G264" i="40"/>
  <c r="G348" i="34"/>
  <c r="H233" i="42"/>
  <c r="G234" i="44"/>
  <c r="G265" i="38"/>
  <c r="E268" i="40" s="1"/>
  <c r="H266" i="36"/>
  <c r="E266" i="38"/>
  <c r="G266" i="38" s="1"/>
  <c r="H262" i="36"/>
  <c r="E262" i="38"/>
  <c r="H261" i="38"/>
  <c r="G117" i="38"/>
  <c r="G35" i="40"/>
  <c r="H222" i="36"/>
  <c r="E222" i="38"/>
  <c r="G222" i="38" s="1"/>
  <c r="H291" i="38"/>
  <c r="G290" i="38"/>
  <c r="H290" i="38" s="1"/>
  <c r="H270" i="36"/>
  <c r="E270" i="38"/>
  <c r="G270" i="38" s="1"/>
  <c r="H302" i="36"/>
  <c r="E302" i="38"/>
  <c r="G302" i="38" s="1"/>
  <c r="E268" i="38"/>
  <c r="G269" i="38"/>
  <c r="E272" i="40" s="1"/>
  <c r="H100" i="36"/>
  <c r="E100" i="38"/>
  <c r="G100" i="38" s="1"/>
  <c r="H300" i="36"/>
  <c r="E300" i="38"/>
  <c r="G300" i="38" s="1"/>
  <c r="H99" i="36"/>
  <c r="E99" i="38"/>
  <c r="G99" i="38" s="1"/>
  <c r="G107" i="38"/>
  <c r="H274" i="36"/>
  <c r="E274" i="38"/>
  <c r="G274" i="38" s="1"/>
  <c r="G98" i="38"/>
  <c r="G154" i="38"/>
  <c r="H301" i="36"/>
  <c r="E301" i="38"/>
  <c r="G301" i="38" s="1"/>
  <c r="G109" i="36"/>
  <c r="E110" i="38"/>
  <c r="G110" i="38" s="1"/>
  <c r="H278" i="36"/>
  <c r="E278" i="38"/>
  <c r="G278" i="38" s="1"/>
  <c r="E87" i="38"/>
  <c r="E86" i="38" s="1"/>
  <c r="E88" i="38"/>
  <c r="G89" i="38"/>
  <c r="E298" i="36"/>
  <c r="G299" i="36"/>
  <c r="E299" i="38" s="1"/>
  <c r="E264" i="36"/>
  <c r="H269" i="36"/>
  <c r="G268" i="36"/>
  <c r="H268" i="36" s="1"/>
  <c r="G264" i="36"/>
  <c r="H264" i="36" s="1"/>
  <c r="H265" i="36"/>
  <c r="H291" i="36"/>
  <c r="G290" i="36"/>
  <c r="H290" i="36" s="1"/>
  <c r="E303" i="36"/>
  <c r="E272" i="36"/>
  <c r="G273" i="36"/>
  <c r="E273" i="38" s="1"/>
  <c r="G260" i="36"/>
  <c r="H260" i="36" s="1"/>
  <c r="G229" i="34"/>
  <c r="E230" i="36"/>
  <c r="H240" i="34"/>
  <c r="E240" i="36"/>
  <c r="E313" i="36"/>
  <c r="G314" i="36"/>
  <c r="G313" i="36" s="1"/>
  <c r="H304" i="36"/>
  <c r="G303" i="36"/>
  <c r="H303" i="36" s="1"/>
  <c r="H87" i="34"/>
  <c r="G297" i="34"/>
  <c r="G115" i="34"/>
  <c r="H115" i="34" s="1"/>
  <c r="D57" i="34"/>
  <c r="G280" i="34"/>
  <c r="H280" i="34" s="1"/>
  <c r="H98" i="36"/>
  <c r="G97" i="36"/>
  <c r="G106" i="36"/>
  <c r="H107" i="36"/>
  <c r="H221" i="36"/>
  <c r="G220" i="36"/>
  <c r="H117" i="36"/>
  <c r="G116" i="36"/>
  <c r="H107" i="38"/>
  <c r="F295" i="34"/>
  <c r="H221" i="38"/>
  <c r="H154" i="36"/>
  <c r="G153" i="36"/>
  <c r="H117" i="38"/>
  <c r="H35" i="38"/>
  <c r="H89" i="36"/>
  <c r="G87" i="36"/>
  <c r="G88" i="36"/>
  <c r="H88" i="36" s="1"/>
  <c r="H417" i="34"/>
  <c r="G416" i="34"/>
  <c r="D14" i="34"/>
  <c r="D12" i="34" s="1"/>
  <c r="G432" i="34"/>
  <c r="H441" i="34"/>
  <c r="G440" i="34"/>
  <c r="F16" i="35"/>
  <c r="F14" i="35" s="1"/>
  <c r="F12" i="35" s="1"/>
  <c r="G363" i="34"/>
  <c r="H363" i="34" s="1"/>
  <c r="H373" i="34"/>
  <c r="H229" i="34"/>
  <c r="H104" i="34"/>
  <c r="D295" i="34"/>
  <c r="D227" i="34" s="1"/>
  <c r="D226" i="34" s="1"/>
  <c r="D225" i="34" s="1"/>
  <c r="G325" i="34"/>
  <c r="H325" i="34" s="1"/>
  <c r="H297" i="34"/>
  <c r="H290" i="34"/>
  <c r="F57" i="34"/>
  <c r="F293" i="33"/>
  <c r="H281" i="52" l="1"/>
  <c r="G280" i="52"/>
  <c r="H280" i="52" s="1"/>
  <c r="G233" i="44"/>
  <c r="F237" i="46"/>
  <c r="J35" i="46"/>
  <c r="I35" i="46"/>
  <c r="E291" i="49"/>
  <c r="G291" i="49" s="1"/>
  <c r="J299" i="46"/>
  <c r="H281" i="49"/>
  <c r="G280" i="49"/>
  <c r="H274" i="38"/>
  <c r="E279" i="42"/>
  <c r="G279" i="42" s="1"/>
  <c r="E277" i="40"/>
  <c r="G277" i="40" s="1"/>
  <c r="H277" i="40" s="1"/>
  <c r="G295" i="42"/>
  <c r="H296" i="42"/>
  <c r="H300" i="38"/>
  <c r="E303" i="40"/>
  <c r="G303" i="40" s="1"/>
  <c r="G272" i="40"/>
  <c r="H270" i="38"/>
  <c r="E275" i="42"/>
  <c r="G275" i="42" s="1"/>
  <c r="E273" i="40"/>
  <c r="G273" i="40" s="1"/>
  <c r="H273" i="40" s="1"/>
  <c r="H222" i="38"/>
  <c r="F228" i="46"/>
  <c r="H228" i="46" s="1"/>
  <c r="H226" i="46" s="1"/>
  <c r="E225" i="44"/>
  <c r="G225" i="44" s="1"/>
  <c r="H225" i="44" s="1"/>
  <c r="E225" i="42"/>
  <c r="G225" i="42" s="1"/>
  <c r="H225" i="42" s="1"/>
  <c r="E225" i="40"/>
  <c r="G225" i="40" s="1"/>
  <c r="H225" i="40" s="1"/>
  <c r="G116" i="38"/>
  <c r="G115" i="38" s="1"/>
  <c r="E119" i="40"/>
  <c r="G119" i="40" s="1"/>
  <c r="H266" i="38"/>
  <c r="E271" i="44"/>
  <c r="G271" i="44" s="1"/>
  <c r="E271" i="42"/>
  <c r="G271" i="42" s="1"/>
  <c r="H271" i="42" s="1"/>
  <c r="E269" i="40"/>
  <c r="G269" i="40" s="1"/>
  <c r="H269" i="40" s="1"/>
  <c r="H224" i="42"/>
  <c r="G293" i="40"/>
  <c r="H293" i="40" s="1"/>
  <c r="H294" i="40"/>
  <c r="H301" i="38"/>
  <c r="E304" i="40"/>
  <c r="G304" i="40" s="1"/>
  <c r="G109" i="38"/>
  <c r="E112" i="40"/>
  <c r="G112" i="40" s="1"/>
  <c r="G153" i="38"/>
  <c r="E157" i="40"/>
  <c r="G106" i="38"/>
  <c r="E109" i="40"/>
  <c r="G109" i="40" s="1"/>
  <c r="G223" i="40"/>
  <c r="E266" i="42"/>
  <c r="H264" i="40"/>
  <c r="H224" i="44"/>
  <c r="H296" i="44"/>
  <c r="G295" i="44"/>
  <c r="H278" i="38"/>
  <c r="E283" i="42"/>
  <c r="G283" i="42" s="1"/>
  <c r="E281" i="40"/>
  <c r="G281" i="40" s="1"/>
  <c r="H281" i="40" s="1"/>
  <c r="H99" i="38"/>
  <c r="E101" i="40"/>
  <c r="G101" i="40" s="1"/>
  <c r="H100" i="38"/>
  <c r="E102" i="40"/>
  <c r="G102" i="40" s="1"/>
  <c r="H302" i="38"/>
  <c r="E306" i="40"/>
  <c r="G306" i="40" s="1"/>
  <c r="G268" i="40"/>
  <c r="H298" i="46"/>
  <c r="I299" i="46"/>
  <c r="H233" i="44"/>
  <c r="G97" i="38"/>
  <c r="G96" i="38" s="1"/>
  <c r="H96" i="38" s="1"/>
  <c r="E100" i="40"/>
  <c r="E91" i="40"/>
  <c r="H98" i="38"/>
  <c r="G262" i="38"/>
  <c r="E260" i="38"/>
  <c r="E264" i="38"/>
  <c r="H265" i="38"/>
  <c r="G264" i="38"/>
  <c r="H264" i="38" s="1"/>
  <c r="H154" i="38"/>
  <c r="G220" i="38"/>
  <c r="G219" i="38" s="1"/>
  <c r="H219" i="38" s="1"/>
  <c r="H223" i="40"/>
  <c r="G222" i="40"/>
  <c r="H222" i="40" s="1"/>
  <c r="G295" i="34"/>
  <c r="H295" i="34" s="1"/>
  <c r="H35" i="40"/>
  <c r="E298" i="38"/>
  <c r="E297" i="38" s="1"/>
  <c r="E295" i="38" s="1"/>
  <c r="G299" i="38"/>
  <c r="E302" i="40" s="1"/>
  <c r="E272" i="38"/>
  <c r="G273" i="38"/>
  <c r="E276" i="40" s="1"/>
  <c r="G268" i="38"/>
  <c r="H269" i="38"/>
  <c r="E97" i="38"/>
  <c r="E96" i="38" s="1"/>
  <c r="G88" i="38"/>
  <c r="H88" i="38" s="1"/>
  <c r="G87" i="38"/>
  <c r="H89" i="38"/>
  <c r="G272" i="36"/>
  <c r="H272" i="36" s="1"/>
  <c r="H273" i="36"/>
  <c r="D11" i="34"/>
  <c r="D459" i="34" s="1"/>
  <c r="E229" i="36"/>
  <c r="E297" i="36"/>
  <c r="E295" i="36" s="1"/>
  <c r="G298" i="36"/>
  <c r="H299" i="36"/>
  <c r="F227" i="34"/>
  <c r="F226" i="34" s="1"/>
  <c r="F225" i="34" s="1"/>
  <c r="F25" i="35"/>
  <c r="H153" i="36"/>
  <c r="H106" i="38"/>
  <c r="G104" i="38"/>
  <c r="H104" i="38" s="1"/>
  <c r="H116" i="36"/>
  <c r="G115" i="36"/>
  <c r="H115" i="36" s="1"/>
  <c r="G219" i="36"/>
  <c r="H219" i="36" s="1"/>
  <c r="H220" i="36"/>
  <c r="H97" i="36"/>
  <c r="G96" i="36"/>
  <c r="H96" i="36" s="1"/>
  <c r="H116" i="38"/>
  <c r="H115" i="38"/>
  <c r="H153" i="38"/>
  <c r="G104" i="36"/>
  <c r="H104" i="36" s="1"/>
  <c r="H106" i="36"/>
  <c r="H87" i="36"/>
  <c r="G86" i="36"/>
  <c r="H86" i="36" s="1"/>
  <c r="H416" i="34"/>
  <c r="H440" i="34"/>
  <c r="G439" i="34"/>
  <c r="H439" i="34" s="1"/>
  <c r="H432" i="34"/>
  <c r="G429" i="34"/>
  <c r="H429" i="34" s="1"/>
  <c r="F14" i="34"/>
  <c r="G290" i="49" l="1"/>
  <c r="E291" i="54"/>
  <c r="G291" i="54" s="1"/>
  <c r="E291" i="52"/>
  <c r="G291" i="52" s="1"/>
  <c r="H280" i="49"/>
  <c r="E280" i="52"/>
  <c r="H295" i="44"/>
  <c r="E290" i="49"/>
  <c r="F298" i="46"/>
  <c r="H271" i="44"/>
  <c r="F274" i="46"/>
  <c r="H274" i="46" s="1"/>
  <c r="G223" i="44"/>
  <c r="F236" i="46"/>
  <c r="H237" i="46"/>
  <c r="H291" i="49"/>
  <c r="I298" i="46"/>
  <c r="J298" i="46"/>
  <c r="J274" i="46"/>
  <c r="I274" i="46"/>
  <c r="E266" i="49"/>
  <c r="G266" i="49" s="1"/>
  <c r="E112" i="42"/>
  <c r="G112" i="42" s="1"/>
  <c r="G111" i="42" s="1"/>
  <c r="E112" i="44"/>
  <c r="G112" i="44" s="1"/>
  <c r="G111" i="40"/>
  <c r="H268" i="40"/>
  <c r="G267" i="40"/>
  <c r="H267" i="40" s="1"/>
  <c r="E270" i="42"/>
  <c r="H102" i="40"/>
  <c r="E102" i="42"/>
  <c r="G102" i="42" s="1"/>
  <c r="G118" i="40"/>
  <c r="H119" i="40"/>
  <c r="E119" i="42"/>
  <c r="G119" i="42" s="1"/>
  <c r="E119" i="44"/>
  <c r="G119" i="44" s="1"/>
  <c r="E275" i="44"/>
  <c r="G275" i="44" s="1"/>
  <c r="H275" i="42"/>
  <c r="H303" i="40"/>
  <c r="E305" i="42"/>
  <c r="G305" i="42" s="1"/>
  <c r="E267" i="44"/>
  <c r="G267" i="44" s="1"/>
  <c r="E265" i="40"/>
  <c r="E267" i="42"/>
  <c r="G267" i="42" s="1"/>
  <c r="H267" i="42" s="1"/>
  <c r="H112" i="46"/>
  <c r="H109" i="40"/>
  <c r="E109" i="44"/>
  <c r="G109" i="44" s="1"/>
  <c r="F112" i="46" s="1"/>
  <c r="G108" i="40"/>
  <c r="E109" i="42"/>
  <c r="G109" i="42" s="1"/>
  <c r="E271" i="40"/>
  <c r="H97" i="38"/>
  <c r="E275" i="40"/>
  <c r="G276" i="40"/>
  <c r="E267" i="40"/>
  <c r="H283" i="42"/>
  <c r="E283" i="44"/>
  <c r="G283" i="44" s="1"/>
  <c r="H223" i="44"/>
  <c r="G222" i="44"/>
  <c r="H222" i="44" s="1"/>
  <c r="G266" i="42"/>
  <c r="E265" i="42"/>
  <c r="E156" i="40"/>
  <c r="G157" i="40"/>
  <c r="H304" i="40"/>
  <c r="E306" i="42"/>
  <c r="G306" i="42" s="1"/>
  <c r="G223" i="42"/>
  <c r="E279" i="44"/>
  <c r="G279" i="44" s="1"/>
  <c r="H279" i="42"/>
  <c r="H295" i="42"/>
  <c r="E295" i="44"/>
  <c r="H225" i="46"/>
  <c r="E308" i="42"/>
  <c r="G308" i="42" s="1"/>
  <c r="H306" i="40"/>
  <c r="E101" i="42"/>
  <c r="G101" i="42" s="1"/>
  <c r="H101" i="40"/>
  <c r="H272" i="40"/>
  <c r="E274" i="42"/>
  <c r="G271" i="40"/>
  <c r="H271" i="40" s="1"/>
  <c r="H232" i="44"/>
  <c r="G100" i="40"/>
  <c r="H100" i="40" s="1"/>
  <c r="E99" i="40"/>
  <c r="E98" i="40" s="1"/>
  <c r="G302" i="40"/>
  <c r="E301" i="40"/>
  <c r="E300" i="40" s="1"/>
  <c r="E298" i="40" s="1"/>
  <c r="E100" i="42"/>
  <c r="G99" i="40"/>
  <c r="E89" i="40"/>
  <c r="E88" i="40" s="1"/>
  <c r="E90" i="40"/>
  <c r="G91" i="40"/>
  <c r="E91" i="42" s="1"/>
  <c r="G91" i="42" s="1"/>
  <c r="H220" i="38"/>
  <c r="H262" i="38"/>
  <c r="G260" i="38"/>
  <c r="H260" i="38" s="1"/>
  <c r="G298" i="38"/>
  <c r="H299" i="38"/>
  <c r="H273" i="38"/>
  <c r="G272" i="38"/>
  <c r="H272" i="38" s="1"/>
  <c r="H268" i="38"/>
  <c r="G86" i="38"/>
  <c r="H86" i="38" s="1"/>
  <c r="H87" i="38"/>
  <c r="G297" i="36"/>
  <c r="H298" i="36"/>
  <c r="G415" i="34"/>
  <c r="H415" i="34" s="1"/>
  <c r="F12" i="34"/>
  <c r="F11" i="34" s="1"/>
  <c r="F459" i="34" s="1"/>
  <c r="H266" i="49" l="1"/>
  <c r="E266" i="52"/>
  <c r="G266" i="52" s="1"/>
  <c r="H291" i="52"/>
  <c r="G290" i="52"/>
  <c r="H290" i="52" s="1"/>
  <c r="G290" i="54"/>
  <c r="H290" i="54" s="1"/>
  <c r="H291" i="54"/>
  <c r="H290" i="49"/>
  <c r="E290" i="54"/>
  <c r="E290" i="52"/>
  <c r="H275" i="44"/>
  <c r="F278" i="46"/>
  <c r="H278" i="46" s="1"/>
  <c r="H279" i="44"/>
  <c r="F282" i="46"/>
  <c r="H282" i="46" s="1"/>
  <c r="G111" i="44"/>
  <c r="F115" i="46"/>
  <c r="H283" i="44"/>
  <c r="F286" i="46"/>
  <c r="H286" i="46" s="1"/>
  <c r="F122" i="46"/>
  <c r="H122" i="46" s="1"/>
  <c r="F99" i="46"/>
  <c r="H267" i="44"/>
  <c r="F270" i="46"/>
  <c r="H270" i="46" s="1"/>
  <c r="J237" i="46"/>
  <c r="E238" i="49"/>
  <c r="H236" i="46"/>
  <c r="J278" i="46"/>
  <c r="E113" i="49"/>
  <c r="G113" i="49" s="1"/>
  <c r="E113" i="52" s="1"/>
  <c r="J112" i="46"/>
  <c r="J282" i="46"/>
  <c r="E123" i="49"/>
  <c r="G123" i="49" s="1"/>
  <c r="J122" i="46"/>
  <c r="I278" i="46"/>
  <c r="E270" i="49"/>
  <c r="G270" i="49" s="1"/>
  <c r="G122" i="49"/>
  <c r="E262" i="49"/>
  <c r="G262" i="49" s="1"/>
  <c r="H109" i="42"/>
  <c r="G108" i="42"/>
  <c r="I112" i="46"/>
  <c r="H111" i="46"/>
  <c r="J111" i="46" s="1"/>
  <c r="G274" i="42"/>
  <c r="E273" i="42"/>
  <c r="E266" i="44"/>
  <c r="H266" i="42"/>
  <c r="G265" i="42"/>
  <c r="H265" i="42" s="1"/>
  <c r="H108" i="40"/>
  <c r="G106" i="40"/>
  <c r="H106" i="40" s="1"/>
  <c r="H305" i="42"/>
  <c r="E305" i="44"/>
  <c r="G305" i="44" s="1"/>
  <c r="H118" i="40"/>
  <c r="G117" i="40"/>
  <c r="H117" i="40" s="1"/>
  <c r="G270" i="42"/>
  <c r="E269" i="42"/>
  <c r="E306" i="44"/>
  <c r="G306" i="44" s="1"/>
  <c r="H306" i="42"/>
  <c r="G275" i="40"/>
  <c r="H275" i="40" s="1"/>
  <c r="H276" i="40"/>
  <c r="E278" i="42"/>
  <c r="E308" i="44"/>
  <c r="G308" i="44" s="1"/>
  <c r="H308" i="42"/>
  <c r="H157" i="40"/>
  <c r="E157" i="42"/>
  <c r="G156" i="40"/>
  <c r="H156" i="40" s="1"/>
  <c r="H109" i="44"/>
  <c r="G108" i="44"/>
  <c r="G265" i="40"/>
  <c r="E263" i="40"/>
  <c r="H119" i="44"/>
  <c r="G118" i="44"/>
  <c r="I122" i="46"/>
  <c r="H121" i="46"/>
  <c r="J121" i="46" s="1"/>
  <c r="H101" i="42"/>
  <c r="E101" i="44"/>
  <c r="G101" i="44" s="1"/>
  <c r="G222" i="42"/>
  <c r="H222" i="42" s="1"/>
  <c r="H223" i="42"/>
  <c r="G118" i="42"/>
  <c r="H119" i="42"/>
  <c r="H102" i="42"/>
  <c r="E102" i="44"/>
  <c r="G102" i="44" s="1"/>
  <c r="E91" i="44"/>
  <c r="E89" i="44" s="1"/>
  <c r="E88" i="44" s="1"/>
  <c r="G100" i="42"/>
  <c r="E99" i="42"/>
  <c r="E98" i="42" s="1"/>
  <c r="E89" i="42"/>
  <c r="E88" i="42" s="1"/>
  <c r="E90" i="42"/>
  <c r="E304" i="42"/>
  <c r="G301" i="40"/>
  <c r="H302" i="40"/>
  <c r="G98" i="40"/>
  <c r="H98" i="40" s="1"/>
  <c r="H99" i="40"/>
  <c r="H91" i="42"/>
  <c r="G90" i="42"/>
  <c r="H90" i="42" s="1"/>
  <c r="G89" i="42"/>
  <c r="G89" i="40"/>
  <c r="H91" i="40"/>
  <c r="G90" i="40"/>
  <c r="H90" i="40" s="1"/>
  <c r="H298" i="38"/>
  <c r="G297" i="38"/>
  <c r="H297" i="36"/>
  <c r="G295" i="36"/>
  <c r="H295" i="36" s="1"/>
  <c r="H266" i="52" l="1"/>
  <c r="E266" i="54"/>
  <c r="G266" i="54" s="1"/>
  <c r="H262" i="49"/>
  <c r="E262" i="52"/>
  <c r="G262" i="52" s="1"/>
  <c r="G113" i="52"/>
  <c r="E122" i="54"/>
  <c r="E122" i="52"/>
  <c r="G123" i="54"/>
  <c r="E123" i="52"/>
  <c r="G123" i="52" s="1"/>
  <c r="H270" i="49"/>
  <c r="E270" i="52"/>
  <c r="G270" i="52" s="1"/>
  <c r="H270" i="52" s="1"/>
  <c r="I270" i="46"/>
  <c r="E274" i="49"/>
  <c r="G274" i="49" s="1"/>
  <c r="I282" i="46"/>
  <c r="E278" i="49"/>
  <c r="G278" i="49" s="1"/>
  <c r="J286" i="46"/>
  <c r="I286" i="46"/>
  <c r="I236" i="46"/>
  <c r="J236" i="46"/>
  <c r="H102" i="44"/>
  <c r="F105" i="46"/>
  <c r="H105" i="46" s="1"/>
  <c r="J105" i="46" s="1"/>
  <c r="J270" i="46"/>
  <c r="E237" i="49"/>
  <c r="G238" i="49"/>
  <c r="E238" i="52" s="1"/>
  <c r="F114" i="46"/>
  <c r="H115" i="46"/>
  <c r="H306" i="44"/>
  <c r="F309" i="46"/>
  <c r="H309" i="46" s="1"/>
  <c r="H308" i="44"/>
  <c r="F311" i="46"/>
  <c r="H311" i="46" s="1"/>
  <c r="H305" i="44"/>
  <c r="F308" i="46"/>
  <c r="H308" i="46" s="1"/>
  <c r="H113" i="49"/>
  <c r="H101" i="44"/>
  <c r="F104" i="46"/>
  <c r="H104" i="46" s="1"/>
  <c r="J104" i="46" s="1"/>
  <c r="H123" i="49"/>
  <c r="G112" i="49"/>
  <c r="H112" i="49" s="1"/>
  <c r="I105" i="46"/>
  <c r="E106" i="49"/>
  <c r="G106" i="49" s="1"/>
  <c r="H122" i="49"/>
  <c r="G121" i="49"/>
  <c r="H110" i="49"/>
  <c r="H120" i="46"/>
  <c r="I121" i="46"/>
  <c r="E265" i="44"/>
  <c r="G266" i="44"/>
  <c r="F269" i="46" s="1"/>
  <c r="F268" i="46" s="1"/>
  <c r="I111" i="46"/>
  <c r="H109" i="46"/>
  <c r="H265" i="40"/>
  <c r="G263" i="40"/>
  <c r="H263" i="40" s="1"/>
  <c r="G157" i="42"/>
  <c r="E156" i="42"/>
  <c r="H270" i="42"/>
  <c r="E270" i="44"/>
  <c r="G269" i="42"/>
  <c r="H269" i="42" s="1"/>
  <c r="H108" i="42"/>
  <c r="G106" i="42"/>
  <c r="H106" i="42" s="1"/>
  <c r="G117" i="42"/>
  <c r="H117" i="42" s="1"/>
  <c r="H118" i="42"/>
  <c r="H118" i="44"/>
  <c r="G117" i="44"/>
  <c r="H117" i="44" s="1"/>
  <c r="G106" i="44"/>
  <c r="H106" i="44" s="1"/>
  <c r="H108" i="44"/>
  <c r="G278" i="42"/>
  <c r="E277" i="42"/>
  <c r="H269" i="46"/>
  <c r="J269" i="46" s="1"/>
  <c r="E274" i="44"/>
  <c r="G273" i="42"/>
  <c r="H273" i="42" s="1"/>
  <c r="H274" i="42"/>
  <c r="G91" i="44"/>
  <c r="E90" i="44"/>
  <c r="G99" i="42"/>
  <c r="G98" i="42" s="1"/>
  <c r="E100" i="44"/>
  <c r="H100" i="42"/>
  <c r="H301" i="40"/>
  <c r="G300" i="40"/>
  <c r="G304" i="42"/>
  <c r="E303" i="42"/>
  <c r="E302" i="42" s="1"/>
  <c r="E300" i="42" s="1"/>
  <c r="H98" i="42"/>
  <c r="H89" i="42"/>
  <c r="G88" i="42"/>
  <c r="H88" i="42" s="1"/>
  <c r="G88" i="40"/>
  <c r="H88" i="40" s="1"/>
  <c r="H89" i="40"/>
  <c r="G295" i="38"/>
  <c r="H295" i="38" s="1"/>
  <c r="H297" i="38"/>
  <c r="E319" i="33"/>
  <c r="F319" i="33"/>
  <c r="E315" i="33"/>
  <c r="F315" i="33"/>
  <c r="E313" i="33"/>
  <c r="F313" i="33"/>
  <c r="E303" i="33"/>
  <c r="F303" i="33"/>
  <c r="E298" i="33"/>
  <c r="F298" i="33"/>
  <c r="E322" i="33"/>
  <c r="F322" i="33"/>
  <c r="G322" i="33"/>
  <c r="E264" i="33"/>
  <c r="F264" i="33"/>
  <c r="F260" i="33"/>
  <c r="E240" i="33"/>
  <c r="E229" i="33" s="1"/>
  <c r="E228" i="33" s="1"/>
  <c r="F240" i="33"/>
  <c r="E11" i="33"/>
  <c r="H262" i="52" l="1"/>
  <c r="E262" i="54"/>
  <c r="H266" i="54"/>
  <c r="E266" i="57"/>
  <c r="G266" i="57" s="1"/>
  <c r="H266" i="57" s="1"/>
  <c r="E237" i="52"/>
  <c r="G238" i="52"/>
  <c r="G237" i="52" s="1"/>
  <c r="G236" i="52" s="1"/>
  <c r="G235" i="52" s="1"/>
  <c r="H274" i="49"/>
  <c r="G274" i="54"/>
  <c r="H274" i="54" s="1"/>
  <c r="E274" i="52"/>
  <c r="G274" i="52" s="1"/>
  <c r="H274" i="52" s="1"/>
  <c r="H123" i="52"/>
  <c r="G122" i="52"/>
  <c r="H113" i="52"/>
  <c r="G106" i="54"/>
  <c r="H106" i="54" s="1"/>
  <c r="E106" i="52"/>
  <c r="G106" i="52" s="1"/>
  <c r="H106" i="52" s="1"/>
  <c r="G122" i="54"/>
  <c r="H123" i="54"/>
  <c r="H278" i="49"/>
  <c r="G278" i="54"/>
  <c r="H278" i="54" s="1"/>
  <c r="E278" i="52"/>
  <c r="G278" i="52" s="1"/>
  <c r="H278" i="52" s="1"/>
  <c r="H121" i="49"/>
  <c r="E121" i="54"/>
  <c r="E121" i="52"/>
  <c r="E105" i="49"/>
  <c r="G105" i="49" s="1"/>
  <c r="J309" i="46"/>
  <c r="E301" i="49"/>
  <c r="G301" i="49" s="1"/>
  <c r="E301" i="52" s="1"/>
  <c r="G301" i="52" s="1"/>
  <c r="H301" i="52" s="1"/>
  <c r="I309" i="46"/>
  <c r="G237" i="49"/>
  <c r="I104" i="46"/>
  <c r="J311" i="46"/>
  <c r="E303" i="49"/>
  <c r="G303" i="49" s="1"/>
  <c r="E303" i="52" s="1"/>
  <c r="G303" i="52" s="1"/>
  <c r="H303" i="52" s="1"/>
  <c r="I311" i="46"/>
  <c r="J115" i="46"/>
  <c r="H114" i="46"/>
  <c r="J114" i="46" s="1"/>
  <c r="E116" i="49"/>
  <c r="E300" i="49"/>
  <c r="G300" i="49" s="1"/>
  <c r="E300" i="52" s="1"/>
  <c r="G300" i="52" s="1"/>
  <c r="H300" i="52" s="1"/>
  <c r="J308" i="46"/>
  <c r="I308" i="46"/>
  <c r="J235" i="46"/>
  <c r="I235" i="46"/>
  <c r="I109" i="46"/>
  <c r="J109" i="46"/>
  <c r="I120" i="46"/>
  <c r="J120" i="46"/>
  <c r="H106" i="49"/>
  <c r="H268" i="46"/>
  <c r="J268" i="46" s="1"/>
  <c r="E261" i="49"/>
  <c r="E260" i="49" s="1"/>
  <c r="H91" i="44"/>
  <c r="F94" i="46"/>
  <c r="E273" i="44"/>
  <c r="G274" i="44"/>
  <c r="F277" i="46" s="1"/>
  <c r="F276" i="46" s="1"/>
  <c r="H278" i="42"/>
  <c r="G277" i="42"/>
  <c r="H277" i="42" s="1"/>
  <c r="E278" i="44"/>
  <c r="G265" i="44"/>
  <c r="H266" i="44"/>
  <c r="I269" i="46"/>
  <c r="E269" i="44"/>
  <c r="G270" i="44"/>
  <c r="F273" i="46" s="1"/>
  <c r="F272" i="46" s="1"/>
  <c r="H157" i="42"/>
  <c r="E157" i="44"/>
  <c r="G156" i="42"/>
  <c r="H156" i="42" s="1"/>
  <c r="H99" i="42"/>
  <c r="G89" i="44"/>
  <c r="H89" i="44" s="1"/>
  <c r="G90" i="44"/>
  <c r="H90" i="44" s="1"/>
  <c r="E304" i="44"/>
  <c r="G304" i="44" s="1"/>
  <c r="F307" i="46" s="1"/>
  <c r="E99" i="44"/>
  <c r="E98" i="44" s="1"/>
  <c r="G100" i="44"/>
  <c r="F103" i="46" s="1"/>
  <c r="G303" i="42"/>
  <c r="H304" i="42"/>
  <c r="H300" i="40"/>
  <c r="G298" i="40"/>
  <c r="H298" i="40" s="1"/>
  <c r="E297" i="33"/>
  <c r="E295" i="33" s="1"/>
  <c r="G135" i="33"/>
  <c r="E102" i="33"/>
  <c r="E66" i="33"/>
  <c r="F66" i="33"/>
  <c r="E57" i="33"/>
  <c r="E326" i="33"/>
  <c r="F326" i="33"/>
  <c r="D326" i="33"/>
  <c r="G443" i="33"/>
  <c r="G435" i="33"/>
  <c r="G437" i="33"/>
  <c r="G438" i="33"/>
  <c r="G434" i="33"/>
  <c r="G419" i="33"/>
  <c r="G420" i="33"/>
  <c r="G421" i="33"/>
  <c r="G422" i="33"/>
  <c r="G423" i="33"/>
  <c r="G424" i="33"/>
  <c r="G425" i="33"/>
  <c r="G426" i="33"/>
  <c r="G427" i="33"/>
  <c r="G418" i="33"/>
  <c r="G410" i="33"/>
  <c r="G406" i="33"/>
  <c r="G403" i="33"/>
  <c r="G400" i="33"/>
  <c r="G397" i="33"/>
  <c r="G394" i="33"/>
  <c r="G384" i="33"/>
  <c r="G385" i="33"/>
  <c r="G386" i="33"/>
  <c r="G387" i="33"/>
  <c r="G388" i="33"/>
  <c r="G389" i="33"/>
  <c r="G391" i="33"/>
  <c r="G383" i="33"/>
  <c r="G380" i="33"/>
  <c r="G377" i="33"/>
  <c r="G374" i="33"/>
  <c r="G371" i="33"/>
  <c r="G368" i="33"/>
  <c r="G365" i="33"/>
  <c r="E343" i="33"/>
  <c r="F343" i="33"/>
  <c r="G346" i="33"/>
  <c r="G344" i="33"/>
  <c r="G343" i="33" s="1"/>
  <c r="G342" i="33"/>
  <c r="G340" i="33"/>
  <c r="G338" i="33"/>
  <c r="G336" i="33"/>
  <c r="G329" i="33"/>
  <c r="G330" i="33"/>
  <c r="G331" i="33"/>
  <c r="G332" i="33"/>
  <c r="G333" i="33"/>
  <c r="G328" i="33"/>
  <c r="G321" i="33"/>
  <c r="G320" i="33"/>
  <c r="G305" i="33"/>
  <c r="G306" i="33"/>
  <c r="G307" i="33"/>
  <c r="G308" i="33"/>
  <c r="G309" i="33"/>
  <c r="G310" i="33"/>
  <c r="G311" i="33"/>
  <c r="G312" i="33"/>
  <c r="G314" i="33"/>
  <c r="G313" i="33" s="1"/>
  <c r="G316" i="33"/>
  <c r="G315" i="33" s="1"/>
  <c r="G304" i="33"/>
  <c r="G300" i="33"/>
  <c r="G301" i="33"/>
  <c r="G302" i="33"/>
  <c r="G299" i="33"/>
  <c r="G293" i="33"/>
  <c r="E293" i="34" s="1"/>
  <c r="G293" i="34" s="1"/>
  <c r="G291" i="33"/>
  <c r="G289" i="33"/>
  <c r="E289" i="34" s="1"/>
  <c r="G283" i="33"/>
  <c r="G281" i="33"/>
  <c r="G278" i="33"/>
  <c r="G277" i="33"/>
  <c r="E277" i="34" s="1"/>
  <c r="G274" i="33"/>
  <c r="G273" i="33"/>
  <c r="G269" i="33"/>
  <c r="G265" i="33"/>
  <c r="G261" i="33"/>
  <c r="G242" i="33"/>
  <c r="G243" i="33"/>
  <c r="G244" i="33"/>
  <c r="G245" i="33"/>
  <c r="G246" i="33"/>
  <c r="G247" i="33"/>
  <c r="G248" i="33"/>
  <c r="G249" i="33"/>
  <c r="G250" i="33"/>
  <c r="G251" i="33"/>
  <c r="G252" i="33"/>
  <c r="G253" i="33"/>
  <c r="G254" i="33"/>
  <c r="G255" i="33"/>
  <c r="G256" i="33"/>
  <c r="G257" i="33"/>
  <c r="G258" i="33"/>
  <c r="G241" i="33"/>
  <c r="G232" i="33"/>
  <c r="G233" i="33"/>
  <c r="G234" i="33"/>
  <c r="G235" i="33"/>
  <c r="G236" i="33"/>
  <c r="G237" i="33"/>
  <c r="G238" i="33"/>
  <c r="G239" i="33"/>
  <c r="G231" i="33"/>
  <c r="G222" i="33"/>
  <c r="G221" i="33"/>
  <c r="G217" i="33"/>
  <c r="E217" i="34" s="1"/>
  <c r="G203" i="33"/>
  <c r="E203" i="34" s="1"/>
  <c r="G203" i="34" s="1"/>
  <c r="G204" i="33"/>
  <c r="E204" i="34" s="1"/>
  <c r="G204" i="34" s="1"/>
  <c r="G205" i="33"/>
  <c r="E205" i="34" s="1"/>
  <c r="G205" i="34" s="1"/>
  <c r="E205" i="36" s="1"/>
  <c r="G206" i="33"/>
  <c r="E206" i="34" s="1"/>
  <c r="G207" i="33"/>
  <c r="E207" i="34" s="1"/>
  <c r="G207" i="34" s="1"/>
  <c r="E207" i="36" s="1"/>
  <c r="G208" i="33"/>
  <c r="E208" i="34" s="1"/>
  <c r="G208" i="34" s="1"/>
  <c r="G209" i="33"/>
  <c r="E209" i="34" s="1"/>
  <c r="G209" i="34" s="1"/>
  <c r="G210" i="33"/>
  <c r="E210" i="34" s="1"/>
  <c r="G210" i="34" s="1"/>
  <c r="G211" i="33"/>
  <c r="E211" i="34" s="1"/>
  <c r="G211" i="34" s="1"/>
  <c r="G202" i="33"/>
  <c r="E202" i="34" s="1"/>
  <c r="G202" i="34" s="1"/>
  <c r="G197" i="33"/>
  <c r="E197" i="34" s="1"/>
  <c r="G197" i="34" s="1"/>
  <c r="G196" i="33"/>
  <c r="E196" i="34" s="1"/>
  <c r="G193" i="33"/>
  <c r="E193" i="34" s="1"/>
  <c r="G193" i="34" s="1"/>
  <c r="E193" i="36" s="1"/>
  <c r="G193" i="36" s="1"/>
  <c r="G194" i="33"/>
  <c r="E194" i="34" s="1"/>
  <c r="G194" i="34" s="1"/>
  <c r="G192" i="33"/>
  <c r="E192" i="34" s="1"/>
  <c r="G190" i="33"/>
  <c r="E190" i="34" s="1"/>
  <c r="G190" i="34" s="1"/>
  <c r="G189" i="33"/>
  <c r="E189" i="34" s="1"/>
  <c r="G187" i="33"/>
  <c r="E187" i="34" s="1"/>
  <c r="G187" i="34" s="1"/>
  <c r="G186" i="33"/>
  <c r="E186" i="34" s="1"/>
  <c r="G184" i="33"/>
  <c r="E184" i="34" s="1"/>
  <c r="G184" i="34" s="1"/>
  <c r="G183" i="33"/>
  <c r="E183" i="34" s="1"/>
  <c r="G180" i="33"/>
  <c r="E180" i="34" s="1"/>
  <c r="G180" i="34" s="1"/>
  <c r="G181" i="33"/>
  <c r="E181" i="34" s="1"/>
  <c r="G181" i="34" s="1"/>
  <c r="G179" i="33"/>
  <c r="E179" i="34" s="1"/>
  <c r="G177" i="33"/>
  <c r="E177" i="34" s="1"/>
  <c r="G177" i="34" s="1"/>
  <c r="G176" i="33"/>
  <c r="G171" i="33"/>
  <c r="E171" i="34" s="1"/>
  <c r="G171" i="34" s="1"/>
  <c r="G172" i="33"/>
  <c r="E172" i="34" s="1"/>
  <c r="G172" i="34" s="1"/>
  <c r="G173" i="33"/>
  <c r="E173" i="34" s="1"/>
  <c r="G173" i="34" s="1"/>
  <c r="G174" i="33"/>
  <c r="E174" i="34" s="1"/>
  <c r="G174" i="34" s="1"/>
  <c r="E174" i="36" s="1"/>
  <c r="G170" i="33"/>
  <c r="E170" i="34" s="1"/>
  <c r="G164" i="33"/>
  <c r="E164" i="34" s="1"/>
  <c r="G164" i="34" s="1"/>
  <c r="G165" i="33"/>
  <c r="E165" i="34" s="1"/>
  <c r="G165" i="34" s="1"/>
  <c r="G166" i="33"/>
  <c r="E166" i="34" s="1"/>
  <c r="G166" i="34" s="1"/>
  <c r="G167" i="33"/>
  <c r="E167" i="34" s="1"/>
  <c r="G167" i="34" s="1"/>
  <c r="G168" i="33"/>
  <c r="E168" i="34" s="1"/>
  <c r="G168" i="34" s="1"/>
  <c r="G163" i="33"/>
  <c r="E163" i="34" s="1"/>
  <c r="G157" i="33"/>
  <c r="E157" i="34" s="1"/>
  <c r="G154" i="33"/>
  <c r="G139" i="33"/>
  <c r="E139" i="34" s="1"/>
  <c r="G139" i="34" s="1"/>
  <c r="E139" i="36" s="1"/>
  <c r="G140" i="33"/>
  <c r="E140" i="34" s="1"/>
  <c r="G140" i="34" s="1"/>
  <c r="G141" i="33"/>
  <c r="E141" i="34" s="1"/>
  <c r="G141" i="34" s="1"/>
  <c r="G142" i="33"/>
  <c r="E142" i="34" s="1"/>
  <c r="G142" i="34" s="1"/>
  <c r="G143" i="33"/>
  <c r="E143" i="34" s="1"/>
  <c r="G143" i="34" s="1"/>
  <c r="G144" i="33"/>
  <c r="E144" i="34" s="1"/>
  <c r="G144" i="34" s="1"/>
  <c r="G145" i="33"/>
  <c r="E145" i="34" s="1"/>
  <c r="G145" i="34" s="1"/>
  <c r="G146" i="33"/>
  <c r="E146" i="34" s="1"/>
  <c r="G146" i="34" s="1"/>
  <c r="E146" i="36" s="1"/>
  <c r="G146" i="36" s="1"/>
  <c r="G147" i="33"/>
  <c r="E147" i="34" s="1"/>
  <c r="G147" i="34" s="1"/>
  <c r="G138" i="33"/>
  <c r="E138" i="34" s="1"/>
  <c r="G133" i="33"/>
  <c r="E133" i="34" s="1"/>
  <c r="G127" i="33"/>
  <c r="E127" i="34" s="1"/>
  <c r="G127" i="34" s="1"/>
  <c r="G128" i="33"/>
  <c r="E128" i="34" s="1"/>
  <c r="G129" i="33"/>
  <c r="E129" i="34" s="1"/>
  <c r="G129" i="34" s="1"/>
  <c r="G126" i="33"/>
  <c r="E126" i="34" s="1"/>
  <c r="G126" i="34" s="1"/>
  <c r="G121" i="33"/>
  <c r="E121" i="34" s="1"/>
  <c r="G121" i="34" s="1"/>
  <c r="G120" i="33"/>
  <c r="E120" i="34" s="1"/>
  <c r="G117" i="33"/>
  <c r="G113" i="33"/>
  <c r="E113" i="34" s="1"/>
  <c r="G110" i="33"/>
  <c r="G107" i="33"/>
  <c r="G99" i="33"/>
  <c r="G100" i="33"/>
  <c r="H100" i="33" s="1"/>
  <c r="G98" i="33"/>
  <c r="G94" i="33"/>
  <c r="E94" i="34" s="1"/>
  <c r="G94" i="34" s="1"/>
  <c r="G89" i="33"/>
  <c r="G82" i="33"/>
  <c r="E82" i="34" s="1"/>
  <c r="G82" i="34" s="1"/>
  <c r="E75" i="33"/>
  <c r="E74" i="33" s="1"/>
  <c r="E14" i="33" s="1"/>
  <c r="G77" i="33"/>
  <c r="E77" i="34" s="1"/>
  <c r="G72" i="33"/>
  <c r="E72" i="34" s="1"/>
  <c r="G72" i="34" s="1"/>
  <c r="G69" i="33"/>
  <c r="E69" i="34" s="1"/>
  <c r="G67" i="33"/>
  <c r="G65" i="33"/>
  <c r="E65" i="34" s="1"/>
  <c r="G62" i="33"/>
  <c r="E62" i="34" s="1"/>
  <c r="G60" i="33"/>
  <c r="E60" i="34" s="1"/>
  <c r="G55" i="33"/>
  <c r="E55" i="34" s="1"/>
  <c r="G50" i="33"/>
  <c r="E50" i="34" s="1"/>
  <c r="G45" i="33"/>
  <c r="E45" i="34" s="1"/>
  <c r="G45" i="34" s="1"/>
  <c r="E45" i="36" s="1"/>
  <c r="G44" i="33"/>
  <c r="E44" i="34" s="1"/>
  <c r="E37" i="33"/>
  <c r="F37" i="33"/>
  <c r="G38" i="33"/>
  <c r="G33" i="33"/>
  <c r="E33" i="34" s="1"/>
  <c r="G33" i="34" s="1"/>
  <c r="E33" i="36" s="1"/>
  <c r="G34" i="33"/>
  <c r="E34" i="34" s="1"/>
  <c r="G34" i="34" s="1"/>
  <c r="E34" i="36" s="1"/>
  <c r="G35" i="33"/>
  <c r="G32" i="33"/>
  <c r="E32" i="34" s="1"/>
  <c r="G18" i="33"/>
  <c r="E18" i="34" s="1"/>
  <c r="G19" i="33"/>
  <c r="E19" i="34" s="1"/>
  <c r="G19" i="34" s="1"/>
  <c r="G20" i="33"/>
  <c r="E20" i="34" s="1"/>
  <c r="G20" i="34" s="1"/>
  <c r="E20" i="36" s="1"/>
  <c r="G21" i="33"/>
  <c r="E21" i="34" s="1"/>
  <c r="G21" i="34" s="1"/>
  <c r="E21" i="36" s="1"/>
  <c r="G22" i="33"/>
  <c r="E22" i="34" s="1"/>
  <c r="G22" i="34" s="1"/>
  <c r="G23" i="33"/>
  <c r="E23" i="34" s="1"/>
  <c r="G23" i="34" s="1"/>
  <c r="E23" i="36" s="1"/>
  <c r="G24" i="33"/>
  <c r="E24" i="34" s="1"/>
  <c r="G24" i="34" s="1"/>
  <c r="G25" i="33"/>
  <c r="E25" i="34" s="1"/>
  <c r="G25" i="34" s="1"/>
  <c r="G26" i="33"/>
  <c r="G27" i="33"/>
  <c r="E27" i="34" s="1"/>
  <c r="G27" i="34" s="1"/>
  <c r="G17" i="33"/>
  <c r="E17" i="34" s="1"/>
  <c r="G17" i="34" s="1"/>
  <c r="E17" i="36" s="1"/>
  <c r="G262" i="54" l="1"/>
  <c r="E260" i="54"/>
  <c r="E234" i="54" s="1"/>
  <c r="E233" i="54" s="1"/>
  <c r="E232" i="54" s="1"/>
  <c r="H105" i="49"/>
  <c r="E105" i="52"/>
  <c r="G105" i="52" s="1"/>
  <c r="H105" i="52" s="1"/>
  <c r="H122" i="54"/>
  <c r="G121" i="54"/>
  <c r="H112" i="52"/>
  <c r="H122" i="52"/>
  <c r="G121" i="52"/>
  <c r="H121" i="52" s="1"/>
  <c r="H237" i="52"/>
  <c r="H277" i="46"/>
  <c r="J277" i="46" s="1"/>
  <c r="F102" i="46"/>
  <c r="F101" i="46" s="1"/>
  <c r="H103" i="46"/>
  <c r="H236" i="49"/>
  <c r="H237" i="49"/>
  <c r="H273" i="46"/>
  <c r="J273" i="46" s="1"/>
  <c r="H300" i="49"/>
  <c r="H301" i="49"/>
  <c r="H265" i="44"/>
  <c r="G116" i="49"/>
  <c r="E115" i="49"/>
  <c r="H303" i="49"/>
  <c r="I268" i="46"/>
  <c r="E265" i="49"/>
  <c r="G261" i="49"/>
  <c r="H276" i="46"/>
  <c r="E269" i="49"/>
  <c r="E268" i="49" s="1"/>
  <c r="F306" i="46"/>
  <c r="F305" i="46" s="1"/>
  <c r="F303" i="46" s="1"/>
  <c r="H307" i="46"/>
  <c r="J307" i="46" s="1"/>
  <c r="G88" i="44"/>
  <c r="H88" i="44" s="1"/>
  <c r="H94" i="46"/>
  <c r="F92" i="46"/>
  <c r="F91" i="46" s="1"/>
  <c r="F93" i="46"/>
  <c r="G269" i="44"/>
  <c r="H269" i="44" s="1"/>
  <c r="H270" i="44"/>
  <c r="I273" i="46"/>
  <c r="G157" i="44"/>
  <c r="F160" i="46" s="1"/>
  <c r="H160" i="46" s="1"/>
  <c r="E156" i="44"/>
  <c r="E277" i="44"/>
  <c r="G278" i="44"/>
  <c r="F281" i="46" s="1"/>
  <c r="F280" i="46" s="1"/>
  <c r="G273" i="44"/>
  <c r="H273" i="44" s="1"/>
  <c r="H274" i="44"/>
  <c r="I277" i="46"/>
  <c r="E303" i="44"/>
  <c r="H304" i="44"/>
  <c r="G303" i="44"/>
  <c r="G302" i="44" s="1"/>
  <c r="H100" i="44"/>
  <c r="G99" i="44"/>
  <c r="H303" i="42"/>
  <c r="G302" i="42"/>
  <c r="E146" i="38"/>
  <c r="G146" i="38" s="1"/>
  <c r="E26" i="34"/>
  <c r="G13" i="33"/>
  <c r="E82" i="36"/>
  <c r="E126" i="36"/>
  <c r="E156" i="34"/>
  <c r="E152" i="34" s="1"/>
  <c r="G157" i="34"/>
  <c r="E187" i="36"/>
  <c r="E127" i="36"/>
  <c r="G127" i="36" s="1"/>
  <c r="E129" i="36"/>
  <c r="E177" i="36"/>
  <c r="E177" i="38" s="1"/>
  <c r="E197" i="36"/>
  <c r="E94" i="36"/>
  <c r="G94" i="36" s="1"/>
  <c r="E94" i="38" s="1"/>
  <c r="E93" i="38" s="1"/>
  <c r="E92" i="38" s="1"/>
  <c r="E91" i="38" s="1"/>
  <c r="E184" i="36"/>
  <c r="E190" i="36"/>
  <c r="G190" i="36" s="1"/>
  <c r="H193" i="36"/>
  <c r="E193" i="38"/>
  <c r="G193" i="38" s="1"/>
  <c r="E72" i="36"/>
  <c r="H25" i="34"/>
  <c r="E25" i="36"/>
  <c r="G25" i="36" s="1"/>
  <c r="H121" i="34"/>
  <c r="E121" i="36"/>
  <c r="H142" i="34"/>
  <c r="E142" i="36"/>
  <c r="G142" i="36" s="1"/>
  <c r="E142" i="38" s="1"/>
  <c r="H167" i="34"/>
  <c r="E167" i="36"/>
  <c r="G167" i="36" s="1"/>
  <c r="H171" i="34"/>
  <c r="E171" i="36"/>
  <c r="G171" i="36" s="1"/>
  <c r="H181" i="34"/>
  <c r="E181" i="36"/>
  <c r="G181" i="36" s="1"/>
  <c r="H293" i="34"/>
  <c r="E293" i="36"/>
  <c r="G293" i="36" s="1"/>
  <c r="H27" i="34"/>
  <c r="E27" i="36"/>
  <c r="G27" i="36" s="1"/>
  <c r="H141" i="34"/>
  <c r="E141" i="36"/>
  <c r="G141" i="36" s="1"/>
  <c r="E141" i="38" s="1"/>
  <c r="H166" i="34"/>
  <c r="E166" i="36"/>
  <c r="G166" i="36" s="1"/>
  <c r="H180" i="34"/>
  <c r="E180" i="36"/>
  <c r="G180" i="36" s="1"/>
  <c r="H194" i="34"/>
  <c r="E194" i="36"/>
  <c r="G194" i="36" s="1"/>
  <c r="H140" i="34"/>
  <c r="E140" i="36"/>
  <c r="G140" i="36" s="1"/>
  <c r="E140" i="38" s="1"/>
  <c r="H165" i="34"/>
  <c r="E165" i="36"/>
  <c r="G165" i="36" s="1"/>
  <c r="H173" i="34"/>
  <c r="E173" i="36"/>
  <c r="G173" i="36" s="1"/>
  <c r="H147" i="34"/>
  <c r="E147" i="36"/>
  <c r="G147" i="36" s="1"/>
  <c r="E147" i="38" s="1"/>
  <c r="H168" i="34"/>
  <c r="E168" i="36"/>
  <c r="G168" i="36" s="1"/>
  <c r="H164" i="34"/>
  <c r="E164" i="36"/>
  <c r="G164" i="36" s="1"/>
  <c r="H172" i="34"/>
  <c r="E172" i="36"/>
  <c r="G172" i="36" s="1"/>
  <c r="H202" i="34"/>
  <c r="E202" i="36"/>
  <c r="G202" i="36" s="1"/>
  <c r="E202" i="38" s="1"/>
  <c r="H204" i="34"/>
  <c r="E204" i="36"/>
  <c r="G204" i="36" s="1"/>
  <c r="E204" i="38" s="1"/>
  <c r="H209" i="34"/>
  <c r="E209" i="36"/>
  <c r="G209" i="36" s="1"/>
  <c r="E209" i="38" s="1"/>
  <c r="H210" i="34"/>
  <c r="E210" i="36"/>
  <c r="G210" i="36" s="1"/>
  <c r="E210" i="38" s="1"/>
  <c r="H208" i="34"/>
  <c r="E208" i="36"/>
  <c r="G208" i="36" s="1"/>
  <c r="E208" i="38" s="1"/>
  <c r="H203" i="34"/>
  <c r="E203" i="36"/>
  <c r="G203" i="36" s="1"/>
  <c r="E203" i="38" s="1"/>
  <c r="H211" i="34"/>
  <c r="E211" i="36"/>
  <c r="G211" i="36" s="1"/>
  <c r="E211" i="38" s="1"/>
  <c r="H145" i="34"/>
  <c r="E145" i="36"/>
  <c r="G145" i="36" s="1"/>
  <c r="E145" i="38" s="1"/>
  <c r="H144" i="34"/>
  <c r="E144" i="36"/>
  <c r="G144" i="36" s="1"/>
  <c r="E144" i="38" s="1"/>
  <c r="H143" i="34"/>
  <c r="E143" i="36"/>
  <c r="G143" i="36" s="1"/>
  <c r="E143" i="38" s="1"/>
  <c r="H24" i="34"/>
  <c r="E24" i="36"/>
  <c r="G24" i="36" s="1"/>
  <c r="H22" i="34"/>
  <c r="E22" i="36"/>
  <c r="G22" i="36" s="1"/>
  <c r="H19" i="34"/>
  <c r="E19" i="36"/>
  <c r="G19" i="36" s="1"/>
  <c r="H126" i="34"/>
  <c r="E132" i="34"/>
  <c r="E131" i="34" s="1"/>
  <c r="G133" i="34"/>
  <c r="E133" i="36" s="1"/>
  <c r="H129" i="34"/>
  <c r="G129" i="36"/>
  <c r="H177" i="34"/>
  <c r="G177" i="38"/>
  <c r="G177" i="36"/>
  <c r="H177" i="36" s="1"/>
  <c r="E182" i="34"/>
  <c r="G183" i="34"/>
  <c r="E188" i="34"/>
  <c r="G189" i="34"/>
  <c r="E276" i="34"/>
  <c r="G277" i="34"/>
  <c r="E277" i="36" s="1"/>
  <c r="G81" i="34"/>
  <c r="H81" i="34" s="1"/>
  <c r="G82" i="36"/>
  <c r="E82" i="38" s="1"/>
  <c r="G82" i="38" s="1"/>
  <c r="E84" i="40" s="1"/>
  <c r="G84" i="40" s="1"/>
  <c r="E84" i="42" s="1"/>
  <c r="G84" i="42" s="1"/>
  <c r="H82" i="34"/>
  <c r="E125" i="34"/>
  <c r="G128" i="34"/>
  <c r="G179" i="34"/>
  <c r="E178" i="34"/>
  <c r="H184" i="34"/>
  <c r="G184" i="36"/>
  <c r="H190" i="34"/>
  <c r="G196" i="34"/>
  <c r="E195" i="34"/>
  <c r="E216" i="34"/>
  <c r="E215" i="34" s="1"/>
  <c r="E214" i="34" s="1"/>
  <c r="E213" i="34" s="1"/>
  <c r="G217" i="34"/>
  <c r="E217" i="36" s="1"/>
  <c r="E288" i="34"/>
  <c r="G289" i="34"/>
  <c r="E289" i="36" s="1"/>
  <c r="H94" i="34"/>
  <c r="G93" i="34"/>
  <c r="H174" i="34"/>
  <c r="G175" i="33"/>
  <c r="E176" i="34"/>
  <c r="G187" i="36"/>
  <c r="H187" i="34"/>
  <c r="E76" i="34"/>
  <c r="E75" i="34" s="1"/>
  <c r="E74" i="34" s="1"/>
  <c r="G77" i="34"/>
  <c r="E77" i="36" s="1"/>
  <c r="H113" i="33"/>
  <c r="H127" i="34"/>
  <c r="E185" i="34"/>
  <c r="G186" i="34"/>
  <c r="E191" i="34"/>
  <c r="G192" i="34"/>
  <c r="H197" i="34"/>
  <c r="G326" i="33"/>
  <c r="E112" i="34"/>
  <c r="G113" i="34"/>
  <c r="E113" i="36" s="1"/>
  <c r="E112" i="36" s="1"/>
  <c r="H45" i="34"/>
  <c r="G45" i="36"/>
  <c r="H139" i="34"/>
  <c r="G139" i="36"/>
  <c r="E139" i="38" s="1"/>
  <c r="H23" i="34"/>
  <c r="G23" i="36"/>
  <c r="H21" i="34"/>
  <c r="G21" i="36"/>
  <c r="H20" i="34"/>
  <c r="G20" i="36"/>
  <c r="H17" i="34"/>
  <c r="H33" i="34"/>
  <c r="G33" i="36"/>
  <c r="H34" i="34"/>
  <c r="G34" i="36"/>
  <c r="H207" i="34"/>
  <c r="G207" i="36"/>
  <c r="E207" i="38" s="1"/>
  <c r="H205" i="34"/>
  <c r="E43" i="34"/>
  <c r="E42" i="34" s="1"/>
  <c r="E41" i="34" s="1"/>
  <c r="E40" i="34" s="1"/>
  <c r="G44" i="34"/>
  <c r="E44" i="36" s="1"/>
  <c r="E49" i="34"/>
  <c r="E48" i="34" s="1"/>
  <c r="E47" i="34" s="1"/>
  <c r="G50" i="34"/>
  <c r="E50" i="36" s="1"/>
  <c r="G163" i="34"/>
  <c r="E162" i="34"/>
  <c r="G120" i="34"/>
  <c r="E119" i="34"/>
  <c r="H196" i="34"/>
  <c r="H193" i="34"/>
  <c r="E169" i="34"/>
  <c r="G170" i="34"/>
  <c r="E170" i="36" s="1"/>
  <c r="G170" i="36" s="1"/>
  <c r="E201" i="34"/>
  <c r="E200" i="34" s="1"/>
  <c r="E199" i="34" s="1"/>
  <c r="G206" i="34"/>
  <c r="E206" i="36" s="1"/>
  <c r="G206" i="36" s="1"/>
  <c r="E206" i="38" s="1"/>
  <c r="E59" i="34"/>
  <c r="G60" i="34"/>
  <c r="E60" i="36" s="1"/>
  <c r="E61" i="34"/>
  <c r="G62" i="34"/>
  <c r="E62" i="36" s="1"/>
  <c r="H72" i="34"/>
  <c r="G71" i="34"/>
  <c r="E68" i="34"/>
  <c r="G69" i="34"/>
  <c r="E69" i="36" s="1"/>
  <c r="E64" i="34"/>
  <c r="G65" i="34"/>
  <c r="E65" i="36" s="1"/>
  <c r="G66" i="33"/>
  <c r="E67" i="34"/>
  <c r="G138" i="34"/>
  <c r="E138" i="36" s="1"/>
  <c r="E16" i="34"/>
  <c r="G18" i="34"/>
  <c r="E54" i="34"/>
  <c r="E53" i="34" s="1"/>
  <c r="E52" i="34" s="1"/>
  <c r="G55" i="34"/>
  <c r="E55" i="36" s="1"/>
  <c r="E31" i="34"/>
  <c r="G32" i="34"/>
  <c r="E32" i="36" s="1"/>
  <c r="G37" i="33"/>
  <c r="E38" i="34"/>
  <c r="G240" i="33"/>
  <c r="G264" i="33"/>
  <c r="G319" i="33"/>
  <c r="G260" i="33"/>
  <c r="G298" i="33"/>
  <c r="G303" i="33"/>
  <c r="H368" i="33"/>
  <c r="F367" i="33"/>
  <c r="D367" i="33"/>
  <c r="H365" i="33"/>
  <c r="G364" i="33"/>
  <c r="F364" i="33"/>
  <c r="D364" i="33"/>
  <c r="H323" i="33"/>
  <c r="D322" i="33"/>
  <c r="H322" i="33" s="1"/>
  <c r="E262" i="57" l="1"/>
  <c r="H262" i="54"/>
  <c r="G260" i="54"/>
  <c r="G260" i="49"/>
  <c r="E261" i="52"/>
  <c r="H236" i="52"/>
  <c r="H116" i="49"/>
  <c r="E116" i="52"/>
  <c r="G105" i="54"/>
  <c r="E103" i="54"/>
  <c r="E102" i="54" s="1"/>
  <c r="H121" i="54"/>
  <c r="H272" i="46"/>
  <c r="J272" i="46" s="1"/>
  <c r="G115" i="49"/>
  <c r="H115" i="49" s="1"/>
  <c r="H102" i="46"/>
  <c r="I103" i="46"/>
  <c r="E104" i="49"/>
  <c r="J103" i="46"/>
  <c r="H281" i="46"/>
  <c r="J281" i="46" s="1"/>
  <c r="F159" i="46"/>
  <c r="I276" i="46"/>
  <c r="J276" i="46"/>
  <c r="E161" i="49"/>
  <c r="G161" i="49" s="1"/>
  <c r="E161" i="52" s="1"/>
  <c r="J160" i="46"/>
  <c r="E95" i="49"/>
  <c r="G95" i="49" s="1"/>
  <c r="E95" i="52" s="1"/>
  <c r="E93" i="52" s="1"/>
  <c r="E92" i="52" s="1"/>
  <c r="J94" i="46"/>
  <c r="H306" i="46"/>
  <c r="E299" i="49"/>
  <c r="G265" i="49"/>
  <c r="E265" i="52" s="1"/>
  <c r="E264" i="49"/>
  <c r="H280" i="46"/>
  <c r="J280" i="46" s="1"/>
  <c r="E273" i="49"/>
  <c r="E160" i="49"/>
  <c r="G269" i="49"/>
  <c r="I272" i="46"/>
  <c r="H261" i="49"/>
  <c r="E302" i="44"/>
  <c r="E300" i="44" s="1"/>
  <c r="I94" i="46"/>
  <c r="H92" i="46"/>
  <c r="J92" i="46" s="1"/>
  <c r="H93" i="46"/>
  <c r="G156" i="44"/>
  <c r="H156" i="44" s="1"/>
  <c r="H157" i="44"/>
  <c r="H159" i="46"/>
  <c r="I160" i="46"/>
  <c r="H278" i="44"/>
  <c r="G277" i="44"/>
  <c r="H277" i="44" s="1"/>
  <c r="I281" i="46"/>
  <c r="E84" i="44"/>
  <c r="G84" i="44" s="1"/>
  <c r="I307" i="46"/>
  <c r="H99" i="44"/>
  <c r="G98" i="44"/>
  <c r="H98" i="44" s="1"/>
  <c r="H303" i="44"/>
  <c r="G83" i="42"/>
  <c r="H83" i="42" s="1"/>
  <c r="H84" i="42"/>
  <c r="G300" i="42"/>
  <c r="H302" i="42"/>
  <c r="H193" i="38"/>
  <c r="E196" i="40"/>
  <c r="G196" i="40" s="1"/>
  <c r="H177" i="38"/>
  <c r="E180" i="40"/>
  <c r="G180" i="40" s="1"/>
  <c r="E149" i="40"/>
  <c r="G149" i="40" s="1"/>
  <c r="E149" i="42" s="1"/>
  <c r="G149" i="42" s="1"/>
  <c r="H129" i="36"/>
  <c r="E129" i="38"/>
  <c r="G129" i="38" s="1"/>
  <c r="H127" i="36"/>
  <c r="E127" i="38"/>
  <c r="G127" i="38" s="1"/>
  <c r="G26" i="34"/>
  <c r="E13" i="34"/>
  <c r="E192" i="36"/>
  <c r="G200" i="40"/>
  <c r="E200" i="42" s="1"/>
  <c r="G200" i="42" s="1"/>
  <c r="E189" i="36"/>
  <c r="E186" i="36"/>
  <c r="G156" i="34"/>
  <c r="E157" i="36"/>
  <c r="H157" i="34"/>
  <c r="H84" i="40"/>
  <c r="G83" i="40"/>
  <c r="H83" i="40" s="1"/>
  <c r="E183" i="36"/>
  <c r="H184" i="36"/>
  <c r="E184" i="38"/>
  <c r="G184" i="38" s="1"/>
  <c r="H145" i="36"/>
  <c r="G145" i="38"/>
  <c r="H210" i="36"/>
  <c r="G210" i="38"/>
  <c r="H204" i="36"/>
  <c r="G204" i="38"/>
  <c r="H164" i="36"/>
  <c r="E164" i="38"/>
  <c r="G164" i="38" s="1"/>
  <c r="H173" i="36"/>
  <c r="E173" i="38"/>
  <c r="G173" i="38" s="1"/>
  <c r="H140" i="36"/>
  <c r="G140" i="38"/>
  <c r="H180" i="36"/>
  <c r="E180" i="38"/>
  <c r="G180" i="38" s="1"/>
  <c r="H171" i="36"/>
  <c r="E171" i="38"/>
  <c r="G171" i="38" s="1"/>
  <c r="H25" i="36"/>
  <c r="E25" i="38"/>
  <c r="G25" i="38" s="1"/>
  <c r="H203" i="36"/>
  <c r="G203" i="38"/>
  <c r="H170" i="36"/>
  <c r="E170" i="38"/>
  <c r="G170" i="38" s="1"/>
  <c r="G94" i="38"/>
  <c r="H190" i="36"/>
  <c r="E190" i="38"/>
  <c r="G190" i="38" s="1"/>
  <c r="H211" i="36"/>
  <c r="G211" i="38"/>
  <c r="H209" i="36"/>
  <c r="G209" i="38"/>
  <c r="H202" i="36"/>
  <c r="H172" i="36"/>
  <c r="E172" i="38"/>
  <c r="G172" i="38" s="1"/>
  <c r="H168" i="36"/>
  <c r="E168" i="38"/>
  <c r="G168" i="38" s="1"/>
  <c r="H165" i="36"/>
  <c r="E165" i="38"/>
  <c r="G165" i="38" s="1"/>
  <c r="H194" i="36"/>
  <c r="E194" i="38"/>
  <c r="G194" i="38" s="1"/>
  <c r="H166" i="36"/>
  <c r="E166" i="38"/>
  <c r="G166" i="38" s="1"/>
  <c r="H181" i="36"/>
  <c r="E181" i="38"/>
  <c r="G181" i="38" s="1"/>
  <c r="H167" i="36"/>
  <c r="E167" i="38"/>
  <c r="G167" i="38" s="1"/>
  <c r="G121" i="36"/>
  <c r="H207" i="36"/>
  <c r="G207" i="38"/>
  <c r="H187" i="36"/>
  <c r="E187" i="38"/>
  <c r="G187" i="38" s="1"/>
  <c r="H208" i="36"/>
  <c r="G208" i="38"/>
  <c r="H206" i="36"/>
  <c r="G206" i="38"/>
  <c r="H293" i="36"/>
  <c r="E293" i="38"/>
  <c r="H147" i="36"/>
  <c r="G147" i="38"/>
  <c r="H143" i="36"/>
  <c r="G143" i="38"/>
  <c r="H45" i="36"/>
  <c r="E45" i="38"/>
  <c r="G45" i="38" s="1"/>
  <c r="H144" i="36"/>
  <c r="G144" i="38"/>
  <c r="H141" i="36"/>
  <c r="G141" i="38"/>
  <c r="H139" i="36"/>
  <c r="G139" i="38"/>
  <c r="H142" i="36"/>
  <c r="H21" i="36"/>
  <c r="E21" i="38"/>
  <c r="G21" i="38" s="1"/>
  <c r="H27" i="36"/>
  <c r="E27" i="38"/>
  <c r="G27" i="38" s="1"/>
  <c r="H24" i="36"/>
  <c r="E24" i="38"/>
  <c r="G24" i="38" s="1"/>
  <c r="H23" i="36"/>
  <c r="E23" i="38"/>
  <c r="G23" i="38" s="1"/>
  <c r="H22" i="36"/>
  <c r="E22" i="38"/>
  <c r="G22" i="38" s="1"/>
  <c r="H20" i="36"/>
  <c r="E20" i="38"/>
  <c r="G20" i="38" s="1"/>
  <c r="H19" i="36"/>
  <c r="E19" i="38"/>
  <c r="G19" i="38" s="1"/>
  <c r="H34" i="36"/>
  <c r="E34" i="38"/>
  <c r="G34" i="38" s="1"/>
  <c r="H33" i="36"/>
  <c r="E33" i="38"/>
  <c r="G33" i="38" s="1"/>
  <c r="G195" i="34"/>
  <c r="H195" i="34" s="1"/>
  <c r="E196" i="36"/>
  <c r="G196" i="36" s="1"/>
  <c r="G178" i="34"/>
  <c r="H178" i="34" s="1"/>
  <c r="E179" i="36"/>
  <c r="G277" i="36"/>
  <c r="E277" i="38" s="1"/>
  <c r="E276" i="36"/>
  <c r="H163" i="34"/>
  <c r="E163" i="36"/>
  <c r="G125" i="34"/>
  <c r="H125" i="34" s="1"/>
  <c r="E128" i="36"/>
  <c r="G119" i="34"/>
  <c r="H119" i="34" s="1"/>
  <c r="E120" i="36"/>
  <c r="E288" i="36"/>
  <c r="G289" i="36"/>
  <c r="E289" i="38" s="1"/>
  <c r="E288" i="38" s="1"/>
  <c r="E132" i="36"/>
  <c r="E131" i="36" s="1"/>
  <c r="G133" i="36"/>
  <c r="E133" i="38" s="1"/>
  <c r="E132" i="38" s="1"/>
  <c r="E131" i="38" s="1"/>
  <c r="E216" i="36"/>
  <c r="E215" i="36" s="1"/>
  <c r="E214" i="36" s="1"/>
  <c r="E213" i="36" s="1"/>
  <c r="G217" i="36"/>
  <c r="E217" i="38" s="1"/>
  <c r="G50" i="36"/>
  <c r="E50" i="38" s="1"/>
  <c r="E49" i="36"/>
  <c r="E48" i="36" s="1"/>
  <c r="E47" i="36" s="1"/>
  <c r="G77" i="36"/>
  <c r="E77" i="38" s="1"/>
  <c r="E76" i="36"/>
  <c r="E75" i="36" s="1"/>
  <c r="E74" i="36" s="1"/>
  <c r="E18" i="36"/>
  <c r="G18" i="36" s="1"/>
  <c r="H179" i="34"/>
  <c r="G124" i="34"/>
  <c r="H124" i="34" s="1"/>
  <c r="G162" i="34"/>
  <c r="H162" i="34" s="1"/>
  <c r="G197" i="36"/>
  <c r="E197" i="38" s="1"/>
  <c r="G197" i="38" s="1"/>
  <c r="E200" i="40" s="1"/>
  <c r="G123" i="34"/>
  <c r="H123" i="34" s="1"/>
  <c r="G185" i="34"/>
  <c r="H185" i="34" s="1"/>
  <c r="H186" i="34"/>
  <c r="G174" i="36"/>
  <c r="E174" i="38" s="1"/>
  <c r="E169" i="36"/>
  <c r="H94" i="36"/>
  <c r="G93" i="36"/>
  <c r="G132" i="34"/>
  <c r="H133" i="34"/>
  <c r="H289" i="34"/>
  <c r="G288" i="34"/>
  <c r="H288" i="34" s="1"/>
  <c r="G188" i="34"/>
  <c r="H188" i="34" s="1"/>
  <c r="H189" i="34"/>
  <c r="G76" i="34"/>
  <c r="H77" i="34"/>
  <c r="G174" i="38"/>
  <c r="E177" i="40" s="1"/>
  <c r="G177" i="40" s="1"/>
  <c r="H217" i="34"/>
  <c r="G216" i="34"/>
  <c r="H128" i="34"/>
  <c r="H277" i="34"/>
  <c r="G276" i="34"/>
  <c r="G182" i="34"/>
  <c r="H182" i="34" s="1"/>
  <c r="H183" i="34"/>
  <c r="G126" i="36"/>
  <c r="E126" i="38" s="1"/>
  <c r="G126" i="38" s="1"/>
  <c r="E128" i="40" s="1"/>
  <c r="H93" i="34"/>
  <c r="G92" i="34"/>
  <c r="H82" i="38"/>
  <c r="G81" i="38"/>
  <c r="H120" i="34"/>
  <c r="G191" i="34"/>
  <c r="H191" i="34" s="1"/>
  <c r="E175" i="34"/>
  <c r="E161" i="34" s="1"/>
  <c r="E160" i="34" s="1"/>
  <c r="E159" i="34" s="1"/>
  <c r="G176" i="34"/>
  <c r="H82" i="36"/>
  <c r="G81" i="36"/>
  <c r="H81" i="36" s="1"/>
  <c r="E228" i="34"/>
  <c r="E227" i="34" s="1"/>
  <c r="E226" i="34" s="1"/>
  <c r="E225" i="34" s="1"/>
  <c r="H113" i="34"/>
  <c r="G112" i="34"/>
  <c r="H112" i="34" s="1"/>
  <c r="E43" i="36"/>
  <c r="E42" i="36" s="1"/>
  <c r="E41" i="36" s="1"/>
  <c r="E40" i="36" s="1"/>
  <c r="G44" i="36"/>
  <c r="E44" i="38" s="1"/>
  <c r="G138" i="36"/>
  <c r="E137" i="36"/>
  <c r="G17" i="36"/>
  <c r="E64" i="36"/>
  <c r="E68" i="36"/>
  <c r="E59" i="36"/>
  <c r="E61" i="36"/>
  <c r="G32" i="36"/>
  <c r="E32" i="38" s="1"/>
  <c r="E31" i="36"/>
  <c r="G205" i="36"/>
  <c r="E201" i="36"/>
  <c r="E200" i="36" s="1"/>
  <c r="E199" i="36" s="1"/>
  <c r="E54" i="36"/>
  <c r="E53" i="36" s="1"/>
  <c r="E52" i="36" s="1"/>
  <c r="H44" i="34"/>
  <c r="G43" i="34"/>
  <c r="H50" i="34"/>
  <c r="G49" i="34"/>
  <c r="H170" i="34"/>
  <c r="G169" i="34"/>
  <c r="H169" i="34" s="1"/>
  <c r="H206" i="34"/>
  <c r="G201" i="34"/>
  <c r="G68" i="34"/>
  <c r="H68" i="34" s="1"/>
  <c r="H69" i="34"/>
  <c r="G64" i="34"/>
  <c r="H65" i="34"/>
  <c r="G70" i="34"/>
  <c r="H70" i="34" s="1"/>
  <c r="H71" i="34"/>
  <c r="H60" i="34"/>
  <c r="G59" i="34"/>
  <c r="E66" i="34"/>
  <c r="E63" i="34" s="1"/>
  <c r="G67" i="34"/>
  <c r="E67" i="36" s="1"/>
  <c r="H62" i="34"/>
  <c r="G61" i="34"/>
  <c r="H61" i="34" s="1"/>
  <c r="E58" i="34"/>
  <c r="H138" i="34"/>
  <c r="G137" i="34"/>
  <c r="H137" i="34" s="1"/>
  <c r="H18" i="34"/>
  <c r="G16" i="34"/>
  <c r="H16" i="34" s="1"/>
  <c r="G54" i="34"/>
  <c r="H55" i="34"/>
  <c r="E37" i="34"/>
  <c r="E30" i="34" s="1"/>
  <c r="E29" i="34" s="1"/>
  <c r="G38" i="34"/>
  <c r="E38" i="36" s="1"/>
  <c r="G31" i="34"/>
  <c r="H32" i="34"/>
  <c r="G297" i="33"/>
  <c r="H364" i="33"/>
  <c r="G367" i="33"/>
  <c r="H367" i="33" s="1"/>
  <c r="H260" i="54" l="1"/>
  <c r="E260" i="57"/>
  <c r="E234" i="57" s="1"/>
  <c r="E233" i="57" s="1"/>
  <c r="E232" i="57" s="1"/>
  <c r="G262" i="57"/>
  <c r="H105" i="54"/>
  <c r="G103" i="54"/>
  <c r="E269" i="52"/>
  <c r="G268" i="49"/>
  <c r="E115" i="52"/>
  <c r="E110" i="52" s="1"/>
  <c r="G116" i="52"/>
  <c r="E116" i="54" s="1"/>
  <c r="E260" i="52"/>
  <c r="G261" i="52"/>
  <c r="G161" i="52"/>
  <c r="E161" i="54" s="1"/>
  <c r="E160" i="52"/>
  <c r="G95" i="52"/>
  <c r="H95" i="52" s="1"/>
  <c r="E94" i="52"/>
  <c r="E94" i="49"/>
  <c r="J102" i="46"/>
  <c r="H101" i="46"/>
  <c r="I102" i="46"/>
  <c r="H84" i="44"/>
  <c r="F87" i="46"/>
  <c r="H87" i="46" s="1"/>
  <c r="E88" i="49" s="1"/>
  <c r="G88" i="49" s="1"/>
  <c r="G87" i="49" s="1"/>
  <c r="G104" i="49"/>
  <c r="E104" i="52" s="1"/>
  <c r="E103" i="49"/>
  <c r="E102" i="49" s="1"/>
  <c r="I280" i="46"/>
  <c r="I159" i="46"/>
  <c r="J159" i="46"/>
  <c r="H305" i="46"/>
  <c r="J305" i="46" s="1"/>
  <c r="J306" i="46"/>
  <c r="I93" i="46"/>
  <c r="J93" i="46"/>
  <c r="E93" i="49"/>
  <c r="E92" i="49" s="1"/>
  <c r="G299" i="49"/>
  <c r="E299" i="52" s="1"/>
  <c r="E298" i="49"/>
  <c r="E297" i="49" s="1"/>
  <c r="E295" i="49" s="1"/>
  <c r="G93" i="49"/>
  <c r="G94" i="49"/>
  <c r="H94" i="49" s="1"/>
  <c r="H95" i="49"/>
  <c r="H268" i="49"/>
  <c r="H269" i="49"/>
  <c r="H264" i="49"/>
  <c r="H265" i="49"/>
  <c r="G273" i="49"/>
  <c r="E273" i="52" s="1"/>
  <c r="E272" i="49"/>
  <c r="H260" i="49"/>
  <c r="H161" i="49"/>
  <c r="G160" i="49"/>
  <c r="H300" i="42"/>
  <c r="G230" i="42"/>
  <c r="G229" i="42" s="1"/>
  <c r="I92" i="46"/>
  <c r="H91" i="46"/>
  <c r="G83" i="44"/>
  <c r="H184" i="38"/>
  <c r="E187" i="40"/>
  <c r="G187" i="40" s="1"/>
  <c r="G93" i="38"/>
  <c r="G92" i="38" s="1"/>
  <c r="G91" i="38" s="1"/>
  <c r="E96" i="40"/>
  <c r="G96" i="40" s="1"/>
  <c r="H25" i="38"/>
  <c r="E25" i="40"/>
  <c r="G25" i="40" s="1"/>
  <c r="H187" i="38"/>
  <c r="E190" i="42"/>
  <c r="G190" i="42" s="1"/>
  <c r="E190" i="40"/>
  <c r="G190" i="40" s="1"/>
  <c r="H190" i="40" s="1"/>
  <c r="H190" i="38"/>
  <c r="E193" i="40"/>
  <c r="G193" i="40" s="1"/>
  <c r="H193" i="40" s="1"/>
  <c r="E193" i="42"/>
  <c r="G193" i="42" s="1"/>
  <c r="I306" i="46"/>
  <c r="G128" i="40"/>
  <c r="E128" i="42" s="1"/>
  <c r="G128" i="42" s="1"/>
  <c r="H86" i="46"/>
  <c r="J86" i="46" s="1"/>
  <c r="E149" i="44"/>
  <c r="G149" i="44" s="1"/>
  <c r="F152" i="46" s="1"/>
  <c r="H152" i="46" s="1"/>
  <c r="E153" i="49" s="1"/>
  <c r="G153" i="49" s="1"/>
  <c r="E153" i="52" s="1"/>
  <c r="G153" i="52" s="1"/>
  <c r="H200" i="42"/>
  <c r="E200" i="44"/>
  <c r="G200" i="44" s="1"/>
  <c r="G300" i="44"/>
  <c r="H300" i="44" s="1"/>
  <c r="H302" i="44"/>
  <c r="H83" i="44"/>
  <c r="H127" i="38"/>
  <c r="E129" i="40"/>
  <c r="G129" i="40" s="1"/>
  <c r="H129" i="38"/>
  <c r="E131" i="40"/>
  <c r="G131" i="40" s="1"/>
  <c r="H194" i="38"/>
  <c r="E197" i="40"/>
  <c r="G197" i="40" s="1"/>
  <c r="H196" i="40"/>
  <c r="E196" i="42"/>
  <c r="H181" i="38"/>
  <c r="E184" i="40"/>
  <c r="G184" i="40" s="1"/>
  <c r="H180" i="38"/>
  <c r="E183" i="40"/>
  <c r="G183" i="40" s="1"/>
  <c r="H180" i="40"/>
  <c r="E180" i="42"/>
  <c r="G180" i="42" s="1"/>
  <c r="H177" i="40"/>
  <c r="E177" i="42"/>
  <c r="G177" i="42" s="1"/>
  <c r="H173" i="38"/>
  <c r="E176" i="40"/>
  <c r="G176" i="40" s="1"/>
  <c r="H172" i="38"/>
  <c r="E175" i="40"/>
  <c r="G175" i="40" s="1"/>
  <c r="H171" i="38"/>
  <c r="E174" i="40"/>
  <c r="G174" i="40" s="1"/>
  <c r="H170" i="38"/>
  <c r="E173" i="40"/>
  <c r="H168" i="38"/>
  <c r="E171" i="40"/>
  <c r="G171" i="40" s="1"/>
  <c r="H167" i="38"/>
  <c r="E170" i="40"/>
  <c r="G170" i="40" s="1"/>
  <c r="H166" i="38"/>
  <c r="E169" i="40"/>
  <c r="G169" i="40" s="1"/>
  <c r="H165" i="38"/>
  <c r="E168" i="40"/>
  <c r="G168" i="40" s="1"/>
  <c r="H164" i="38"/>
  <c r="E167" i="40"/>
  <c r="G167" i="40" s="1"/>
  <c r="H208" i="38"/>
  <c r="E211" i="40"/>
  <c r="G211" i="40" s="1"/>
  <c r="H203" i="38"/>
  <c r="E206" i="40"/>
  <c r="G206" i="40" s="1"/>
  <c r="H210" i="38"/>
  <c r="E213" i="40"/>
  <c r="G213" i="40" s="1"/>
  <c r="H206" i="38"/>
  <c r="E209" i="40"/>
  <c r="G209" i="40" s="1"/>
  <c r="H211" i="38"/>
  <c r="E214" i="40"/>
  <c r="G214" i="40" s="1"/>
  <c r="H209" i="38"/>
  <c r="E212" i="40"/>
  <c r="G212" i="40" s="1"/>
  <c r="H204" i="38"/>
  <c r="E207" i="40"/>
  <c r="G207" i="40" s="1"/>
  <c r="H207" i="38"/>
  <c r="E210" i="40"/>
  <c r="H147" i="38"/>
  <c r="E150" i="40"/>
  <c r="G150" i="40" s="1"/>
  <c r="H45" i="38"/>
  <c r="E45" i="40"/>
  <c r="G45" i="40" s="1"/>
  <c r="H143" i="38"/>
  <c r="E146" i="40"/>
  <c r="G146" i="40" s="1"/>
  <c r="H33" i="38"/>
  <c r="E33" i="40"/>
  <c r="G33" i="40" s="1"/>
  <c r="H34" i="38"/>
  <c r="E34" i="40"/>
  <c r="G34" i="40" s="1"/>
  <c r="H27" i="38"/>
  <c r="E27" i="40"/>
  <c r="G27" i="40" s="1"/>
  <c r="H145" i="38"/>
  <c r="E148" i="40"/>
  <c r="G148" i="40" s="1"/>
  <c r="H144" i="38"/>
  <c r="E147" i="40"/>
  <c r="G147" i="40" s="1"/>
  <c r="H141" i="38"/>
  <c r="E144" i="40"/>
  <c r="G144" i="40" s="1"/>
  <c r="H140" i="38"/>
  <c r="E143" i="40"/>
  <c r="G143" i="40" s="1"/>
  <c r="H139" i="38"/>
  <c r="E142" i="40"/>
  <c r="G142" i="40" s="1"/>
  <c r="H24" i="38"/>
  <c r="E24" i="40"/>
  <c r="G24" i="40" s="1"/>
  <c r="H23" i="38"/>
  <c r="E23" i="40"/>
  <c r="G23" i="40" s="1"/>
  <c r="H22" i="38"/>
  <c r="E22" i="40"/>
  <c r="G22" i="40" s="1"/>
  <c r="H21" i="38"/>
  <c r="E21" i="40"/>
  <c r="G21" i="40" s="1"/>
  <c r="H20" i="38"/>
  <c r="E20" i="40"/>
  <c r="G20" i="40" s="1"/>
  <c r="H19" i="38"/>
  <c r="E19" i="40"/>
  <c r="G19" i="40" s="1"/>
  <c r="E205" i="38"/>
  <c r="G205" i="38" s="1"/>
  <c r="H121" i="36"/>
  <c r="E121" i="38"/>
  <c r="G121" i="38" s="1"/>
  <c r="G133" i="38"/>
  <c r="G132" i="38" s="1"/>
  <c r="E138" i="38"/>
  <c r="G138" i="38" s="1"/>
  <c r="E169" i="38"/>
  <c r="G13" i="34"/>
  <c r="H13" i="34" s="1"/>
  <c r="E26" i="36"/>
  <c r="H26" i="34"/>
  <c r="H94" i="38"/>
  <c r="E176" i="36"/>
  <c r="E176" i="38" s="1"/>
  <c r="E185" i="40"/>
  <c r="H200" i="40"/>
  <c r="G157" i="36"/>
  <c r="E156" i="36"/>
  <c r="E152" i="36" s="1"/>
  <c r="G152" i="34"/>
  <c r="H152" i="34" s="1"/>
  <c r="H156" i="34"/>
  <c r="E276" i="38"/>
  <c r="E228" i="38" s="1"/>
  <c r="E227" i="38" s="1"/>
  <c r="E226" i="38" s="1"/>
  <c r="E225" i="38" s="1"/>
  <c r="G277" i="38"/>
  <c r="G217" i="38"/>
  <c r="E216" i="38"/>
  <c r="E215" i="38" s="1"/>
  <c r="E214" i="38" s="1"/>
  <c r="E213" i="38" s="1"/>
  <c r="G289" i="38"/>
  <c r="E125" i="36"/>
  <c r="H196" i="36"/>
  <c r="E196" i="38"/>
  <c r="G202" i="38"/>
  <c r="G293" i="38"/>
  <c r="G77" i="38"/>
  <c r="E76" i="38"/>
  <c r="E75" i="38" s="1"/>
  <c r="E74" i="38" s="1"/>
  <c r="E49" i="38"/>
  <c r="E48" i="38" s="1"/>
  <c r="E47" i="38" s="1"/>
  <c r="G50" i="38"/>
  <c r="E52" i="40" s="1"/>
  <c r="E43" i="38"/>
  <c r="E42" i="38" s="1"/>
  <c r="E41" i="38" s="1"/>
  <c r="E40" i="38" s="1"/>
  <c r="G44" i="38"/>
  <c r="G142" i="38"/>
  <c r="H18" i="36"/>
  <c r="E18" i="38"/>
  <c r="G18" i="38" s="1"/>
  <c r="E17" i="38"/>
  <c r="G32" i="38"/>
  <c r="E31" i="38"/>
  <c r="E228" i="36"/>
  <c r="E227" i="36" s="1"/>
  <c r="E226" i="36" s="1"/>
  <c r="E225" i="36" s="1"/>
  <c r="G128" i="36"/>
  <c r="E195" i="36"/>
  <c r="E16" i="36"/>
  <c r="E178" i="36"/>
  <c r="G179" i="36"/>
  <c r="E179" i="38" s="1"/>
  <c r="G163" i="36"/>
  <c r="E163" i="38" s="1"/>
  <c r="E162" i="36"/>
  <c r="G132" i="36"/>
  <c r="H133" i="36"/>
  <c r="H289" i="36"/>
  <c r="G288" i="36"/>
  <c r="H288" i="36" s="1"/>
  <c r="G120" i="36"/>
  <c r="E120" i="38" s="1"/>
  <c r="G120" i="38" s="1"/>
  <c r="E122" i="40" s="1"/>
  <c r="E119" i="36"/>
  <c r="H277" i="36"/>
  <c r="G276" i="36"/>
  <c r="H217" i="36"/>
  <c r="G216" i="36"/>
  <c r="H50" i="36"/>
  <c r="G49" i="36"/>
  <c r="G76" i="36"/>
  <c r="H77" i="36"/>
  <c r="E182" i="36"/>
  <c r="G183" i="36"/>
  <c r="E183" i="38" s="1"/>
  <c r="G183" i="38" s="1"/>
  <c r="E186" i="40" s="1"/>
  <c r="G186" i="40" s="1"/>
  <c r="E186" i="42" s="1"/>
  <c r="G192" i="36"/>
  <c r="E191" i="36"/>
  <c r="H126" i="36"/>
  <c r="G189" i="36"/>
  <c r="E189" i="38" s="1"/>
  <c r="G189" i="38" s="1"/>
  <c r="E188" i="36"/>
  <c r="H93" i="36"/>
  <c r="G92" i="36"/>
  <c r="H81" i="38"/>
  <c r="H174" i="38"/>
  <c r="G169" i="38"/>
  <c r="H174" i="36"/>
  <c r="G169" i="36"/>
  <c r="H126" i="38"/>
  <c r="G175" i="34"/>
  <c r="H175" i="34" s="1"/>
  <c r="H176" i="34"/>
  <c r="G91" i="34"/>
  <c r="H91" i="34" s="1"/>
  <c r="H92" i="34"/>
  <c r="H276" i="34"/>
  <c r="G228" i="34"/>
  <c r="H93" i="38"/>
  <c r="G75" i="34"/>
  <c r="H76" i="34"/>
  <c r="H197" i="38"/>
  <c r="G131" i="34"/>
  <c r="H131" i="34" s="1"/>
  <c r="H132" i="34"/>
  <c r="H216" i="34"/>
  <c r="G215" i="34"/>
  <c r="E185" i="36"/>
  <c r="G186" i="36"/>
  <c r="E186" i="38" s="1"/>
  <c r="E185" i="38" s="1"/>
  <c r="H197" i="36"/>
  <c r="G195" i="36"/>
  <c r="H195" i="36" s="1"/>
  <c r="G113" i="36"/>
  <c r="H44" i="36"/>
  <c r="G43" i="36"/>
  <c r="H138" i="36"/>
  <c r="G137" i="36"/>
  <c r="H137" i="36" s="1"/>
  <c r="H17" i="36"/>
  <c r="E66" i="36"/>
  <c r="E63" i="36" s="1"/>
  <c r="E58" i="36"/>
  <c r="G38" i="36"/>
  <c r="E38" i="38" s="1"/>
  <c r="E37" i="36"/>
  <c r="E30" i="36" s="1"/>
  <c r="E29" i="36" s="1"/>
  <c r="H32" i="36"/>
  <c r="G31" i="36"/>
  <c r="H205" i="36"/>
  <c r="G201" i="36"/>
  <c r="H43" i="34"/>
  <c r="G42" i="34"/>
  <c r="H49" i="34"/>
  <c r="G48" i="34"/>
  <c r="H201" i="34"/>
  <c r="G200" i="34"/>
  <c r="E57" i="34"/>
  <c r="E14" i="34"/>
  <c r="G58" i="34"/>
  <c r="H59" i="34"/>
  <c r="H67" i="34"/>
  <c r="G66" i="34"/>
  <c r="H66" i="34" s="1"/>
  <c r="H64" i="34"/>
  <c r="G53" i="34"/>
  <c r="H54" i="34"/>
  <c r="H31" i="34"/>
  <c r="H38" i="34"/>
  <c r="G37" i="34"/>
  <c r="H37" i="34" s="1"/>
  <c r="F16" i="33"/>
  <c r="G116" i="54" l="1"/>
  <c r="E115" i="54"/>
  <c r="E110" i="54" s="1"/>
  <c r="H262" i="57"/>
  <c r="G260" i="57"/>
  <c r="H235" i="54"/>
  <c r="G234" i="54"/>
  <c r="G161" i="54"/>
  <c r="E160" i="54"/>
  <c r="G93" i="52"/>
  <c r="H93" i="52" s="1"/>
  <c r="G94" i="52"/>
  <c r="H94" i="52" s="1"/>
  <c r="E95" i="54"/>
  <c r="E103" i="52"/>
  <c r="E102" i="52" s="1"/>
  <c r="G104" i="52"/>
  <c r="E268" i="52"/>
  <c r="G269" i="52"/>
  <c r="E272" i="52"/>
  <c r="G273" i="52"/>
  <c r="H265" i="52"/>
  <c r="H264" i="52"/>
  <c r="G115" i="52"/>
  <c r="H116" i="52"/>
  <c r="G102" i="54"/>
  <c r="H103" i="54"/>
  <c r="G299" i="52"/>
  <c r="E298" i="52"/>
  <c r="E297" i="52" s="1"/>
  <c r="E295" i="52" s="1"/>
  <c r="H261" i="52"/>
  <c r="G260" i="52"/>
  <c r="H161" i="52"/>
  <c r="G160" i="52"/>
  <c r="H160" i="52" s="1"/>
  <c r="H88" i="49"/>
  <c r="I101" i="46"/>
  <c r="J101" i="46"/>
  <c r="G103" i="49"/>
  <c r="H104" i="49"/>
  <c r="H200" i="44"/>
  <c r="F203" i="46"/>
  <c r="H203" i="46" s="1"/>
  <c r="I91" i="46"/>
  <c r="J91" i="46"/>
  <c r="H160" i="49"/>
  <c r="G92" i="49"/>
  <c r="H92" i="49" s="1"/>
  <c r="H93" i="49"/>
  <c r="H299" i="49"/>
  <c r="G298" i="49"/>
  <c r="H87" i="49"/>
  <c r="H273" i="49"/>
  <c r="G272" i="49"/>
  <c r="E96" i="42"/>
  <c r="G96" i="42" s="1"/>
  <c r="H96" i="40"/>
  <c r="G95" i="40"/>
  <c r="H193" i="42"/>
  <c r="E193" i="44"/>
  <c r="G193" i="44" s="1"/>
  <c r="E190" i="44"/>
  <c r="G190" i="44" s="1"/>
  <c r="H190" i="42"/>
  <c r="E192" i="40"/>
  <c r="E192" i="42"/>
  <c r="E25" i="42"/>
  <c r="G25" i="42" s="1"/>
  <c r="H25" i="40"/>
  <c r="H187" i="40"/>
  <c r="E187" i="42"/>
  <c r="G187" i="42" s="1"/>
  <c r="H128" i="40"/>
  <c r="E128" i="44"/>
  <c r="G128" i="44" s="1"/>
  <c r="F131" i="46" s="1"/>
  <c r="I86" i="46"/>
  <c r="I305" i="46"/>
  <c r="H303" i="46"/>
  <c r="H180" i="42"/>
  <c r="E180" i="44"/>
  <c r="G180" i="44" s="1"/>
  <c r="H177" i="42"/>
  <c r="E177" i="44"/>
  <c r="G177" i="44" s="1"/>
  <c r="H211" i="40"/>
  <c r="E211" i="42"/>
  <c r="G211" i="42" s="1"/>
  <c r="H212" i="40"/>
  <c r="E212" i="42"/>
  <c r="G212" i="42" s="1"/>
  <c r="H213" i="40"/>
  <c r="E213" i="42"/>
  <c r="G213" i="42" s="1"/>
  <c r="H206" i="40"/>
  <c r="E206" i="42"/>
  <c r="G206" i="42" s="1"/>
  <c r="H209" i="40"/>
  <c r="E209" i="42"/>
  <c r="G209" i="42" s="1"/>
  <c r="G186" i="42"/>
  <c r="E185" i="42"/>
  <c r="H207" i="40"/>
  <c r="E207" i="42"/>
  <c r="G207" i="42" s="1"/>
  <c r="H214" i="40"/>
  <c r="E214" i="42"/>
  <c r="G214" i="42" s="1"/>
  <c r="E27" i="42"/>
  <c r="G27" i="42" s="1"/>
  <c r="E21" i="42"/>
  <c r="G21" i="42" s="1"/>
  <c r="H148" i="40"/>
  <c r="E148" i="42"/>
  <c r="G148" i="42" s="1"/>
  <c r="H147" i="40"/>
  <c r="E147" i="42"/>
  <c r="G147" i="42" s="1"/>
  <c r="H146" i="40"/>
  <c r="E146" i="42"/>
  <c r="G146" i="42" s="1"/>
  <c r="H144" i="40"/>
  <c r="E144" i="42"/>
  <c r="G144" i="42" s="1"/>
  <c r="H143" i="40"/>
  <c r="E143" i="42"/>
  <c r="G143" i="42" s="1"/>
  <c r="E24" i="42"/>
  <c r="E23" i="42"/>
  <c r="G23" i="42" s="1"/>
  <c r="E22" i="42"/>
  <c r="G22" i="42" s="1"/>
  <c r="E20" i="42"/>
  <c r="G20" i="42" s="1"/>
  <c r="E19" i="42"/>
  <c r="G19" i="42" s="1"/>
  <c r="H34" i="40"/>
  <c r="E34" i="42"/>
  <c r="H33" i="40"/>
  <c r="E33" i="42"/>
  <c r="H133" i="38"/>
  <c r="E136" i="40"/>
  <c r="H121" i="38"/>
  <c r="E123" i="40"/>
  <c r="G123" i="40" s="1"/>
  <c r="G122" i="40"/>
  <c r="H142" i="40"/>
  <c r="E142" i="42"/>
  <c r="G142" i="42" s="1"/>
  <c r="H27" i="40"/>
  <c r="H24" i="40"/>
  <c r="G24" i="42"/>
  <c r="H23" i="40"/>
  <c r="H22" i="40"/>
  <c r="H20" i="40"/>
  <c r="H19" i="40"/>
  <c r="H150" i="40"/>
  <c r="E150" i="42"/>
  <c r="G150" i="42" s="1"/>
  <c r="H131" i="40"/>
  <c r="E131" i="42"/>
  <c r="G131" i="42" s="1"/>
  <c r="H129" i="40"/>
  <c r="E129" i="42"/>
  <c r="H128" i="42"/>
  <c r="H21" i="40"/>
  <c r="G52" i="40"/>
  <c r="E51" i="40"/>
  <c r="E50" i="40" s="1"/>
  <c r="E49" i="40" s="1"/>
  <c r="H45" i="40"/>
  <c r="E45" i="42"/>
  <c r="H197" i="40"/>
  <c r="E197" i="42"/>
  <c r="G197" i="42" s="1"/>
  <c r="G196" i="42"/>
  <c r="H184" i="40"/>
  <c r="E184" i="42"/>
  <c r="G184" i="42" s="1"/>
  <c r="H183" i="40"/>
  <c r="E183" i="42"/>
  <c r="G183" i="42" s="1"/>
  <c r="E176" i="42"/>
  <c r="G176" i="42" s="1"/>
  <c r="H176" i="40"/>
  <c r="H175" i="40"/>
  <c r="E175" i="42"/>
  <c r="G175" i="42" s="1"/>
  <c r="H174" i="40"/>
  <c r="E174" i="42"/>
  <c r="G174" i="42" s="1"/>
  <c r="E172" i="40"/>
  <c r="G173" i="40"/>
  <c r="H171" i="40"/>
  <c r="E171" i="42"/>
  <c r="G171" i="42" s="1"/>
  <c r="H170" i="40"/>
  <c r="E170" i="42"/>
  <c r="G170" i="42" s="1"/>
  <c r="E169" i="42"/>
  <c r="G169" i="42" s="1"/>
  <c r="H169" i="40"/>
  <c r="H168" i="40"/>
  <c r="E168" i="42"/>
  <c r="G168" i="42" s="1"/>
  <c r="H167" i="40"/>
  <c r="E167" i="42"/>
  <c r="G167" i="42" s="1"/>
  <c r="E296" i="40"/>
  <c r="G296" i="40" s="1"/>
  <c r="E79" i="40"/>
  <c r="E205" i="40"/>
  <c r="G205" i="40" s="1"/>
  <c r="E220" i="40"/>
  <c r="H205" i="38"/>
  <c r="E208" i="40"/>
  <c r="G208" i="40" s="1"/>
  <c r="G210" i="40"/>
  <c r="E210" i="42" s="1"/>
  <c r="G210" i="42" s="1"/>
  <c r="G288" i="38"/>
  <c r="H288" i="38" s="1"/>
  <c r="E292" i="40"/>
  <c r="E280" i="40"/>
  <c r="E44" i="40"/>
  <c r="E32" i="40"/>
  <c r="E145" i="40"/>
  <c r="G145" i="40" s="1"/>
  <c r="H138" i="38"/>
  <c r="E141" i="40"/>
  <c r="H18" i="38"/>
  <c r="E18" i="40"/>
  <c r="G18" i="40" s="1"/>
  <c r="H128" i="36"/>
  <c r="E128" i="38"/>
  <c r="H125" i="36"/>
  <c r="E201" i="38"/>
  <c r="E200" i="38" s="1"/>
  <c r="E199" i="38" s="1"/>
  <c r="E119" i="38"/>
  <c r="H124" i="36"/>
  <c r="E137" i="38"/>
  <c r="G26" i="36"/>
  <c r="E13" i="36"/>
  <c r="G186" i="38"/>
  <c r="E157" i="38"/>
  <c r="G156" i="36"/>
  <c r="H157" i="36"/>
  <c r="G185" i="40"/>
  <c r="H185" i="40" s="1"/>
  <c r="H186" i="40"/>
  <c r="E113" i="38"/>
  <c r="E112" i="38" s="1"/>
  <c r="G112" i="36"/>
  <c r="H112" i="36" s="1"/>
  <c r="G131" i="38"/>
  <c r="H131" i="38" s="1"/>
  <c r="H132" i="38"/>
  <c r="G128" i="38"/>
  <c r="E130" i="40" s="1"/>
  <c r="E188" i="38"/>
  <c r="E182" i="38"/>
  <c r="E162" i="38"/>
  <c r="G163" i="38"/>
  <c r="E166" i="40" s="1"/>
  <c r="G216" i="38"/>
  <c r="H217" i="38"/>
  <c r="H120" i="38"/>
  <c r="G119" i="38"/>
  <c r="H119" i="38" s="1"/>
  <c r="G179" i="38"/>
  <c r="E182" i="40" s="1"/>
  <c r="E178" i="38"/>
  <c r="G201" i="38"/>
  <c r="H202" i="38"/>
  <c r="G196" i="38"/>
  <c r="E199" i="40" s="1"/>
  <c r="E195" i="38"/>
  <c r="H277" i="38"/>
  <c r="G276" i="38"/>
  <c r="G191" i="36"/>
  <c r="H191" i="36" s="1"/>
  <c r="E192" i="38"/>
  <c r="H289" i="38"/>
  <c r="H293" i="38"/>
  <c r="G76" i="38"/>
  <c r="H77" i="38"/>
  <c r="H50" i="38"/>
  <c r="G49" i="38"/>
  <c r="H44" i="38"/>
  <c r="G43" i="38"/>
  <c r="H142" i="38"/>
  <c r="G137" i="38"/>
  <c r="H137" i="38" s="1"/>
  <c r="G17" i="38"/>
  <c r="G38" i="38"/>
  <c r="E37" i="38"/>
  <c r="E30" i="38" s="1"/>
  <c r="E29" i="38" s="1"/>
  <c r="H32" i="38"/>
  <c r="G31" i="38"/>
  <c r="H163" i="36"/>
  <c r="G162" i="36"/>
  <c r="H162" i="36" s="1"/>
  <c r="G178" i="36"/>
  <c r="H178" i="36" s="1"/>
  <c r="H179" i="36"/>
  <c r="H276" i="36"/>
  <c r="G228" i="36"/>
  <c r="G227" i="36" s="1"/>
  <c r="G226" i="36" s="1"/>
  <c r="G225" i="36" s="1"/>
  <c r="H120" i="36"/>
  <c r="G119" i="36"/>
  <c r="H119" i="36" s="1"/>
  <c r="H132" i="36"/>
  <c r="G131" i="36"/>
  <c r="H131" i="36" s="1"/>
  <c r="H216" i="36"/>
  <c r="G215" i="36"/>
  <c r="H49" i="36"/>
  <c r="G48" i="36"/>
  <c r="H76" i="36"/>
  <c r="G75" i="36"/>
  <c r="G161" i="34"/>
  <c r="G160" i="34" s="1"/>
  <c r="H160" i="34" s="1"/>
  <c r="H215" i="34"/>
  <c r="G214" i="34"/>
  <c r="G227" i="34"/>
  <c r="H228" i="34"/>
  <c r="H183" i="38"/>
  <c r="G182" i="38"/>
  <c r="H182" i="38" s="1"/>
  <c r="H186" i="36"/>
  <c r="G185" i="36"/>
  <c r="H185" i="36" s="1"/>
  <c r="H75" i="34"/>
  <c r="G74" i="34"/>
  <c r="H74" i="34" s="1"/>
  <c r="H189" i="36"/>
  <c r="G188" i="36"/>
  <c r="H188" i="36" s="1"/>
  <c r="H183" i="36"/>
  <c r="G182" i="36"/>
  <c r="H182" i="36" s="1"/>
  <c r="G176" i="36"/>
  <c r="E175" i="36"/>
  <c r="E161" i="36" s="1"/>
  <c r="E160" i="36" s="1"/>
  <c r="E159" i="36" s="1"/>
  <c r="E102" i="36" s="1"/>
  <c r="G176" i="38"/>
  <c r="E179" i="40" s="1"/>
  <c r="G179" i="40" s="1"/>
  <c r="E179" i="42" s="1"/>
  <c r="E175" i="38"/>
  <c r="H169" i="36"/>
  <c r="H123" i="36"/>
  <c r="H189" i="38"/>
  <c r="G188" i="38"/>
  <c r="H188" i="38" s="1"/>
  <c r="H92" i="38"/>
  <c r="H91" i="38"/>
  <c r="H169" i="38"/>
  <c r="G91" i="36"/>
  <c r="H91" i="36" s="1"/>
  <c r="H92" i="36"/>
  <c r="H113" i="36"/>
  <c r="H43" i="36"/>
  <c r="G42" i="36"/>
  <c r="E14" i="36"/>
  <c r="E57" i="36"/>
  <c r="H31" i="36"/>
  <c r="H38" i="36"/>
  <c r="G37" i="36"/>
  <c r="H37" i="36" s="1"/>
  <c r="G200" i="36"/>
  <c r="H201" i="36"/>
  <c r="G41" i="34"/>
  <c r="H42" i="34"/>
  <c r="H48" i="34"/>
  <c r="G47" i="34"/>
  <c r="H47" i="34" s="1"/>
  <c r="H200" i="34"/>
  <c r="G199" i="34"/>
  <c r="G63" i="34"/>
  <c r="H63" i="34" s="1"/>
  <c r="H58" i="34"/>
  <c r="G52" i="34"/>
  <c r="H52" i="34" s="1"/>
  <c r="H53" i="34"/>
  <c r="G30" i="34"/>
  <c r="F24" i="32"/>
  <c r="H115" i="52" l="1"/>
  <c r="G110" i="52"/>
  <c r="H110" i="52" s="1"/>
  <c r="G92" i="52"/>
  <c r="H92" i="52" s="1"/>
  <c r="G115" i="54"/>
  <c r="H116" i="54"/>
  <c r="G233" i="54"/>
  <c r="H234" i="54"/>
  <c r="H260" i="57"/>
  <c r="H161" i="54"/>
  <c r="G160" i="54"/>
  <c r="G95" i="54"/>
  <c r="E93" i="54"/>
  <c r="E92" i="54" s="1"/>
  <c r="E94" i="54"/>
  <c r="G272" i="52"/>
  <c r="H272" i="52" s="1"/>
  <c r="H273" i="52"/>
  <c r="H102" i="54"/>
  <c r="H299" i="52"/>
  <c r="G298" i="52"/>
  <c r="G103" i="52"/>
  <c r="H104" i="52"/>
  <c r="H260" i="52"/>
  <c r="G268" i="52"/>
  <c r="H268" i="52" s="1"/>
  <c r="H269" i="52"/>
  <c r="H193" i="44"/>
  <c r="F196" i="46"/>
  <c r="H196" i="46" s="1"/>
  <c r="J196" i="46" s="1"/>
  <c r="G102" i="49"/>
  <c r="H102" i="49" s="1"/>
  <c r="H103" i="49"/>
  <c r="J203" i="46"/>
  <c r="E204" i="49"/>
  <c r="G204" i="49" s="1"/>
  <c r="I203" i="46"/>
  <c r="H190" i="44"/>
  <c r="F193" i="46"/>
  <c r="H193" i="46" s="1"/>
  <c r="J193" i="46" s="1"/>
  <c r="I303" i="46"/>
  <c r="J303" i="46"/>
  <c r="E197" i="49"/>
  <c r="G197" i="49" s="1"/>
  <c r="E197" i="52" s="1"/>
  <c r="G197" i="52" s="1"/>
  <c r="H272" i="49"/>
  <c r="H298" i="49"/>
  <c r="G297" i="49"/>
  <c r="H180" i="44"/>
  <c r="H183" i="46"/>
  <c r="H177" i="44"/>
  <c r="F180" i="46"/>
  <c r="H180" i="46" s="1"/>
  <c r="J180" i="46" s="1"/>
  <c r="H187" i="42"/>
  <c r="E187" i="44"/>
  <c r="G187" i="44" s="1"/>
  <c r="G192" i="42"/>
  <c r="E191" i="42"/>
  <c r="H95" i="40"/>
  <c r="G94" i="40"/>
  <c r="G192" i="40"/>
  <c r="E191" i="40"/>
  <c r="H25" i="42"/>
  <c r="E25" i="44"/>
  <c r="G25" i="44" s="1"/>
  <c r="F25" i="46" s="1"/>
  <c r="H25" i="46" s="1"/>
  <c r="J25" i="46" s="1"/>
  <c r="G185" i="38"/>
  <c r="H185" i="38" s="1"/>
  <c r="E189" i="42"/>
  <c r="E189" i="40"/>
  <c r="E96" i="44"/>
  <c r="G96" i="44" s="1"/>
  <c r="H96" i="42"/>
  <c r="H99" i="46"/>
  <c r="G95" i="42"/>
  <c r="G45" i="42"/>
  <c r="E121" i="40"/>
  <c r="H131" i="46"/>
  <c r="G130" i="40"/>
  <c r="G126" i="40" s="1"/>
  <c r="G125" i="40" s="1"/>
  <c r="E126" i="40"/>
  <c r="E125" i="40" s="1"/>
  <c r="E210" i="44"/>
  <c r="G210" i="44" s="1"/>
  <c r="E196" i="44"/>
  <c r="G196" i="44" s="1"/>
  <c r="E186" i="44"/>
  <c r="G186" i="44" s="1"/>
  <c r="F189" i="46" s="1"/>
  <c r="E22" i="44"/>
  <c r="G22" i="44" s="1"/>
  <c r="F22" i="46" s="1"/>
  <c r="H22" i="46" s="1"/>
  <c r="H21" i="42"/>
  <c r="E21" i="44"/>
  <c r="H19" i="42"/>
  <c r="E19" i="44"/>
  <c r="G19" i="44" s="1"/>
  <c r="F19" i="46" s="1"/>
  <c r="H19" i="46" s="1"/>
  <c r="H23" i="42"/>
  <c r="E23" i="44"/>
  <c r="G23" i="44" s="1"/>
  <c r="F23" i="46" s="1"/>
  <c r="H23" i="46" s="1"/>
  <c r="H147" i="42"/>
  <c r="E147" i="44"/>
  <c r="G147" i="44" s="1"/>
  <c r="H207" i="42"/>
  <c r="E207" i="44"/>
  <c r="G207" i="44" s="1"/>
  <c r="H167" i="42"/>
  <c r="E167" i="44"/>
  <c r="G167" i="44" s="1"/>
  <c r="H171" i="42"/>
  <c r="E171" i="44"/>
  <c r="G171" i="44" s="1"/>
  <c r="H174" i="42"/>
  <c r="E174" i="44"/>
  <c r="G174" i="44" s="1"/>
  <c r="H184" i="42"/>
  <c r="E184" i="44"/>
  <c r="G184" i="44" s="1"/>
  <c r="H197" i="42"/>
  <c r="E197" i="44"/>
  <c r="G197" i="44" s="1"/>
  <c r="H24" i="42"/>
  <c r="E24" i="44"/>
  <c r="G24" i="44" s="1"/>
  <c r="F24" i="46" s="1"/>
  <c r="H24" i="46" s="1"/>
  <c r="H142" i="42"/>
  <c r="E142" i="44"/>
  <c r="G142" i="44" s="1"/>
  <c r="H131" i="42"/>
  <c r="E131" i="44"/>
  <c r="G131" i="44" s="1"/>
  <c r="H144" i="42"/>
  <c r="E144" i="44"/>
  <c r="G144" i="44" s="1"/>
  <c r="H213" i="42"/>
  <c r="E213" i="44"/>
  <c r="G213" i="44" s="1"/>
  <c r="H211" i="42"/>
  <c r="E211" i="44"/>
  <c r="G211" i="44" s="1"/>
  <c r="H169" i="42"/>
  <c r="E169" i="44"/>
  <c r="G169" i="44" s="1"/>
  <c r="H176" i="42"/>
  <c r="E176" i="44"/>
  <c r="G176" i="44" s="1"/>
  <c r="H150" i="42"/>
  <c r="E150" i="44"/>
  <c r="G150" i="44" s="1"/>
  <c r="H20" i="42"/>
  <c r="E20" i="44"/>
  <c r="G20" i="44" s="1"/>
  <c r="H143" i="42"/>
  <c r="E143" i="44"/>
  <c r="G143" i="44" s="1"/>
  <c r="H146" i="42"/>
  <c r="E146" i="44"/>
  <c r="G146" i="44" s="1"/>
  <c r="H148" i="42"/>
  <c r="E148" i="44"/>
  <c r="G148" i="44" s="1"/>
  <c r="H214" i="42"/>
  <c r="E214" i="44"/>
  <c r="G214" i="44" s="1"/>
  <c r="H209" i="42"/>
  <c r="E209" i="44"/>
  <c r="G209" i="44" s="1"/>
  <c r="H206" i="42"/>
  <c r="E206" i="44"/>
  <c r="G206" i="44" s="1"/>
  <c r="H212" i="42"/>
  <c r="E212" i="44"/>
  <c r="G212" i="44" s="1"/>
  <c r="H168" i="42"/>
  <c r="E168" i="44"/>
  <c r="G168" i="44" s="1"/>
  <c r="H170" i="42"/>
  <c r="E170" i="44"/>
  <c r="G170" i="44" s="1"/>
  <c r="H175" i="42"/>
  <c r="E175" i="44"/>
  <c r="G175" i="44" s="1"/>
  <c r="H183" i="42"/>
  <c r="E183" i="44"/>
  <c r="G183" i="44" s="1"/>
  <c r="H27" i="42"/>
  <c r="E27" i="44"/>
  <c r="G27" i="44" s="1"/>
  <c r="H128" i="44"/>
  <c r="H22" i="42"/>
  <c r="G185" i="42"/>
  <c r="H185" i="42" s="1"/>
  <c r="H186" i="42"/>
  <c r="H205" i="40"/>
  <c r="E205" i="42"/>
  <c r="G205" i="42" s="1"/>
  <c r="H208" i="40"/>
  <c r="E208" i="42"/>
  <c r="H296" i="40"/>
  <c r="E298" i="42"/>
  <c r="G298" i="42" s="1"/>
  <c r="H145" i="40"/>
  <c r="E145" i="42"/>
  <c r="G145" i="42" s="1"/>
  <c r="E18" i="42"/>
  <c r="G18" i="42" s="1"/>
  <c r="E135" i="40"/>
  <c r="E134" i="40" s="1"/>
  <c r="G136" i="40"/>
  <c r="H123" i="40"/>
  <c r="E123" i="42"/>
  <c r="G123" i="42" s="1"/>
  <c r="H122" i="40"/>
  <c r="E122" i="42"/>
  <c r="G121" i="40"/>
  <c r="H121" i="40" s="1"/>
  <c r="H18" i="40"/>
  <c r="G129" i="42"/>
  <c r="H52" i="40"/>
  <c r="E52" i="42"/>
  <c r="G51" i="40"/>
  <c r="G199" i="40"/>
  <c r="E198" i="40"/>
  <c r="H196" i="42"/>
  <c r="G182" i="40"/>
  <c r="E181" i="40"/>
  <c r="G179" i="42"/>
  <c r="E178" i="42"/>
  <c r="E178" i="40"/>
  <c r="H173" i="40"/>
  <c r="E173" i="42"/>
  <c r="G172" i="40"/>
  <c r="H172" i="40" s="1"/>
  <c r="G166" i="40"/>
  <c r="E165" i="40"/>
  <c r="E78" i="40"/>
  <c r="E77" i="40" s="1"/>
  <c r="E76" i="40" s="1"/>
  <c r="G79" i="40"/>
  <c r="E79" i="42" s="1"/>
  <c r="G79" i="42" s="1"/>
  <c r="E219" i="40"/>
  <c r="E218" i="40" s="1"/>
  <c r="E217" i="40" s="1"/>
  <c r="E216" i="40" s="1"/>
  <c r="G220" i="40"/>
  <c r="E220" i="42" s="1"/>
  <c r="E219" i="42" s="1"/>
  <c r="E218" i="42" s="1"/>
  <c r="E217" i="42" s="1"/>
  <c r="E216" i="42" s="1"/>
  <c r="E204" i="40"/>
  <c r="E203" i="40" s="1"/>
  <c r="E202" i="40" s="1"/>
  <c r="H210" i="40"/>
  <c r="G204" i="40"/>
  <c r="H210" i="42"/>
  <c r="E291" i="40"/>
  <c r="G292" i="40"/>
  <c r="E294" i="42" s="1"/>
  <c r="G294" i="42" s="1"/>
  <c r="E279" i="40"/>
  <c r="G280" i="40"/>
  <c r="E282" i="42" s="1"/>
  <c r="G282" i="42" s="1"/>
  <c r="E43" i="40"/>
  <c r="E42" i="40" s="1"/>
  <c r="E41" i="40" s="1"/>
  <c r="E40" i="40" s="1"/>
  <c r="G44" i="40"/>
  <c r="E44" i="42" s="1"/>
  <c r="G44" i="42" s="1"/>
  <c r="E38" i="40"/>
  <c r="G32" i="40"/>
  <c r="E32" i="42" s="1"/>
  <c r="E31" i="40"/>
  <c r="G141" i="40"/>
  <c r="E141" i="42" s="1"/>
  <c r="G141" i="42" s="1"/>
  <c r="E140" i="40"/>
  <c r="E17" i="40"/>
  <c r="G113" i="38"/>
  <c r="H113" i="38" s="1"/>
  <c r="H186" i="38"/>
  <c r="G13" i="36"/>
  <c r="H13" i="36" s="1"/>
  <c r="E26" i="38"/>
  <c r="G26" i="38" s="1"/>
  <c r="H26" i="36"/>
  <c r="G16" i="36"/>
  <c r="H16" i="36" s="1"/>
  <c r="H156" i="36"/>
  <c r="G152" i="36"/>
  <c r="H152" i="36" s="1"/>
  <c r="H179" i="40"/>
  <c r="G178" i="40"/>
  <c r="E156" i="38"/>
  <c r="E152" i="38" s="1"/>
  <c r="G157" i="38"/>
  <c r="E160" i="40" s="1"/>
  <c r="H201" i="38"/>
  <c r="G200" i="38"/>
  <c r="H196" i="38"/>
  <c r="G195" i="38"/>
  <c r="H195" i="38" s="1"/>
  <c r="H179" i="38"/>
  <c r="G178" i="38"/>
  <c r="H178" i="38" s="1"/>
  <c r="G215" i="38"/>
  <c r="H216" i="38"/>
  <c r="E191" i="38"/>
  <c r="E161" i="38" s="1"/>
  <c r="E160" i="38" s="1"/>
  <c r="E159" i="38" s="1"/>
  <c r="G192" i="38"/>
  <c r="H276" i="38"/>
  <c r="G228" i="38"/>
  <c r="G227" i="38" s="1"/>
  <c r="G226" i="38" s="1"/>
  <c r="G225" i="38" s="1"/>
  <c r="G162" i="38"/>
  <c r="H162" i="38" s="1"/>
  <c r="H163" i="38"/>
  <c r="H128" i="38"/>
  <c r="H125" i="38"/>
  <c r="H76" i="38"/>
  <c r="G75" i="38"/>
  <c r="G48" i="38"/>
  <c r="H49" i="38"/>
  <c r="H43" i="38"/>
  <c r="G42" i="38"/>
  <c r="H17" i="38"/>
  <c r="H38" i="38"/>
  <c r="G37" i="38"/>
  <c r="H37" i="38" s="1"/>
  <c r="H31" i="38"/>
  <c r="G159" i="34"/>
  <c r="H159" i="34" s="1"/>
  <c r="H161" i="34"/>
  <c r="H228" i="36"/>
  <c r="H215" i="36"/>
  <c r="G214" i="36"/>
  <c r="H48" i="36"/>
  <c r="G47" i="36"/>
  <c r="H47" i="36" s="1"/>
  <c r="G74" i="36"/>
  <c r="H74" i="36" s="1"/>
  <c r="H75" i="36"/>
  <c r="H176" i="36"/>
  <c r="G175" i="36"/>
  <c r="G226" i="34"/>
  <c r="H227" i="34"/>
  <c r="H214" i="34"/>
  <c r="G213" i="34"/>
  <c r="H213" i="34" s="1"/>
  <c r="E12" i="36"/>
  <c r="E11" i="36" s="1"/>
  <c r="E459" i="36" s="1"/>
  <c r="H176" i="38"/>
  <c r="G175" i="38"/>
  <c r="H42" i="36"/>
  <c r="G41" i="36"/>
  <c r="G30" i="36"/>
  <c r="H200" i="36"/>
  <c r="G199" i="36"/>
  <c r="G40" i="34"/>
  <c r="H40" i="34" s="1"/>
  <c r="H41" i="34"/>
  <c r="H199" i="34"/>
  <c r="G57" i="34"/>
  <c r="H57" i="34" s="1"/>
  <c r="G29" i="34"/>
  <c r="H30" i="34"/>
  <c r="H419" i="33"/>
  <c r="H425" i="33"/>
  <c r="H385" i="33"/>
  <c r="H387" i="33"/>
  <c r="H321" i="33"/>
  <c r="H307" i="33"/>
  <c r="H308" i="33"/>
  <c r="H300" i="33"/>
  <c r="H291" i="33"/>
  <c r="H278" i="33"/>
  <c r="H245" i="33"/>
  <c r="H246" i="33"/>
  <c r="H248" i="33"/>
  <c r="H250" i="33"/>
  <c r="H252" i="33"/>
  <c r="H253" i="33"/>
  <c r="H254" i="33"/>
  <c r="H257" i="33"/>
  <c r="H189" i="33"/>
  <c r="H177" i="33"/>
  <c r="H99" i="33"/>
  <c r="H98" i="33"/>
  <c r="F468" i="33"/>
  <c r="I468" i="33" s="1"/>
  <c r="D468" i="33"/>
  <c r="F467" i="33"/>
  <c r="D467" i="33"/>
  <c r="F466" i="33"/>
  <c r="D466" i="33"/>
  <c r="F465" i="33"/>
  <c r="D465" i="33"/>
  <c r="F464" i="33"/>
  <c r="D464" i="33"/>
  <c r="F463" i="33"/>
  <c r="I463" i="33" s="1"/>
  <c r="D463" i="33"/>
  <c r="F462" i="33"/>
  <c r="I462" i="33" s="1"/>
  <c r="D462" i="33"/>
  <c r="F461" i="33"/>
  <c r="I461" i="33" s="1"/>
  <c r="D461" i="33"/>
  <c r="I460" i="33"/>
  <c r="H457" i="33"/>
  <c r="G456" i="33"/>
  <c r="F456" i="33"/>
  <c r="D456" i="33"/>
  <c r="H451" i="33"/>
  <c r="H446" i="33"/>
  <c r="H445" i="33"/>
  <c r="H444" i="33"/>
  <c r="F442" i="33"/>
  <c r="D442" i="33"/>
  <c r="H438" i="33"/>
  <c r="H437" i="33"/>
  <c r="F436" i="33"/>
  <c r="G436" i="33" s="1"/>
  <c r="D436" i="33"/>
  <c r="H435" i="33"/>
  <c r="F433" i="33"/>
  <c r="D433" i="33"/>
  <c r="G431" i="33"/>
  <c r="F430" i="33"/>
  <c r="D430" i="33"/>
  <c r="H427" i="33"/>
  <c r="D417" i="33"/>
  <c r="D416" i="33" s="1"/>
  <c r="H423" i="33"/>
  <c r="H421" i="33"/>
  <c r="F417" i="33"/>
  <c r="F416" i="33" s="1"/>
  <c r="G413" i="33"/>
  <c r="G412" i="33"/>
  <c r="G411" i="33"/>
  <c r="H410" i="33"/>
  <c r="F409" i="33"/>
  <c r="F408" i="33" s="1"/>
  <c r="D409" i="33"/>
  <c r="D408" i="33" s="1"/>
  <c r="F405" i="33"/>
  <c r="D405" i="33"/>
  <c r="F402" i="33"/>
  <c r="D402" i="33"/>
  <c r="F399" i="33"/>
  <c r="D399" i="33"/>
  <c r="F396" i="33"/>
  <c r="D396" i="33"/>
  <c r="F393" i="33"/>
  <c r="D393" i="33"/>
  <c r="H391" i="33"/>
  <c r="F390" i="33"/>
  <c r="G390" i="33" s="1"/>
  <c r="D390" i="33"/>
  <c r="H384" i="33"/>
  <c r="F382" i="33"/>
  <c r="D382" i="33"/>
  <c r="F379" i="33"/>
  <c r="D379" i="33"/>
  <c r="F376" i="33"/>
  <c r="D376" i="33"/>
  <c r="F373" i="33"/>
  <c r="D373" i="33"/>
  <c r="F370" i="33"/>
  <c r="D370" i="33"/>
  <c r="G361" i="33"/>
  <c r="F360" i="33"/>
  <c r="D360" i="33"/>
  <c r="G359" i="33"/>
  <c r="F358" i="33"/>
  <c r="D358" i="33"/>
  <c r="G357" i="33"/>
  <c r="F356" i="33"/>
  <c r="D356" i="33"/>
  <c r="G355" i="33"/>
  <c r="G354" i="33"/>
  <c r="F353" i="33"/>
  <c r="D353" i="33"/>
  <c r="G352" i="33"/>
  <c r="F351" i="33"/>
  <c r="D351" i="33"/>
  <c r="G350" i="33"/>
  <c r="F349" i="33"/>
  <c r="D349" i="33"/>
  <c r="G345" i="33"/>
  <c r="F345" i="33"/>
  <c r="D345" i="33"/>
  <c r="H344" i="33"/>
  <c r="D343" i="33"/>
  <c r="F341" i="33"/>
  <c r="D341" i="33"/>
  <c r="F339" i="33"/>
  <c r="D339" i="33"/>
  <c r="F337" i="33"/>
  <c r="D337" i="33"/>
  <c r="F335" i="33"/>
  <c r="D335" i="33"/>
  <c r="G327" i="33"/>
  <c r="D319" i="33"/>
  <c r="G318" i="33"/>
  <c r="F317" i="33"/>
  <c r="F297" i="33" s="1"/>
  <c r="D317" i="33"/>
  <c r="D315" i="33"/>
  <c r="D313" i="33"/>
  <c r="D311" i="33"/>
  <c r="D309" i="33"/>
  <c r="H306" i="33"/>
  <c r="H304" i="33"/>
  <c r="D303" i="33"/>
  <c r="H302" i="33"/>
  <c r="H301" i="33"/>
  <c r="D298" i="33"/>
  <c r="F290" i="33"/>
  <c r="F288" i="33" s="1"/>
  <c r="D290" i="33"/>
  <c r="G286" i="33"/>
  <c r="G285" i="33" s="1"/>
  <c r="F285" i="33"/>
  <c r="D285" i="33"/>
  <c r="H283" i="33"/>
  <c r="F282" i="33"/>
  <c r="F280" i="33" s="1"/>
  <c r="D282" i="33"/>
  <c r="G279" i="33"/>
  <c r="F276" i="33"/>
  <c r="H274" i="33"/>
  <c r="F272" i="33"/>
  <c r="D272" i="33"/>
  <c r="H269" i="33"/>
  <c r="F268" i="33"/>
  <c r="D264" i="33"/>
  <c r="H258" i="33"/>
  <c r="H256" i="33"/>
  <c r="H255" i="33"/>
  <c r="H251" i="33"/>
  <c r="H249" i="33"/>
  <c r="H247" i="33"/>
  <c r="H244" i="33"/>
  <c r="H243" i="33"/>
  <c r="D240" i="33"/>
  <c r="D229" i="33" s="1"/>
  <c r="H221" i="33"/>
  <c r="F220" i="33"/>
  <c r="F219" i="33" s="1"/>
  <c r="D220" i="33"/>
  <c r="D219" i="33" s="1"/>
  <c r="F216" i="33"/>
  <c r="F215" i="33" s="1"/>
  <c r="F214" i="33" s="1"/>
  <c r="F213" i="33" s="1"/>
  <c r="D216" i="33"/>
  <c r="D215" i="33" s="1"/>
  <c r="D214" i="33" s="1"/>
  <c r="D213" i="33" s="1"/>
  <c r="F201" i="33"/>
  <c r="F200" i="33" s="1"/>
  <c r="F199" i="33" s="1"/>
  <c r="D201" i="33"/>
  <c r="D200" i="33" s="1"/>
  <c r="D199" i="33" s="1"/>
  <c r="F195" i="33"/>
  <c r="D195" i="33"/>
  <c r="F191" i="33"/>
  <c r="D191" i="33"/>
  <c r="F188" i="33"/>
  <c r="D188" i="33"/>
  <c r="F185" i="33"/>
  <c r="D185" i="33"/>
  <c r="H184" i="33"/>
  <c r="F182" i="33"/>
  <c r="D182" i="33"/>
  <c r="F178" i="33"/>
  <c r="D178" i="33"/>
  <c r="F175" i="33"/>
  <c r="D175" i="33"/>
  <c r="F169" i="33"/>
  <c r="D169" i="33"/>
  <c r="F162" i="33"/>
  <c r="D162" i="33"/>
  <c r="F156" i="33"/>
  <c r="D156" i="33"/>
  <c r="F153" i="33"/>
  <c r="D153" i="33"/>
  <c r="G148" i="33"/>
  <c r="F137" i="33"/>
  <c r="D137" i="33"/>
  <c r="F132" i="33"/>
  <c r="F131" i="33" s="1"/>
  <c r="D132" i="33"/>
  <c r="D131" i="33" s="1"/>
  <c r="F125" i="33"/>
  <c r="D125" i="33"/>
  <c r="F124" i="33"/>
  <c r="F123" i="33" s="1"/>
  <c r="D124" i="33"/>
  <c r="D123" i="33" s="1"/>
  <c r="F119" i="33"/>
  <c r="D119" i="33"/>
  <c r="F116" i="33"/>
  <c r="F115" i="33" s="1"/>
  <c r="D116" i="33"/>
  <c r="D115" i="33" s="1"/>
  <c r="F112" i="33"/>
  <c r="D112" i="33"/>
  <c r="F109" i="33"/>
  <c r="D109" i="33"/>
  <c r="F106" i="33"/>
  <c r="F104" i="33" s="1"/>
  <c r="D106" i="33"/>
  <c r="D104" i="33" s="1"/>
  <c r="F97" i="33"/>
  <c r="F96" i="33" s="1"/>
  <c r="F18" i="32" s="1"/>
  <c r="D97" i="33"/>
  <c r="D96" i="33" s="1"/>
  <c r="F93" i="33"/>
  <c r="F92" i="33" s="1"/>
  <c r="F91" i="33" s="1"/>
  <c r="D93" i="33"/>
  <c r="D92" i="33" s="1"/>
  <c r="D91" i="33" s="1"/>
  <c r="F88" i="33"/>
  <c r="D88" i="33"/>
  <c r="F87" i="33"/>
  <c r="F86" i="33" s="1"/>
  <c r="D87" i="33"/>
  <c r="D86" i="33" s="1"/>
  <c r="D83" i="33"/>
  <c r="F81" i="33"/>
  <c r="D81" i="33"/>
  <c r="H77" i="33"/>
  <c r="F76" i="33"/>
  <c r="F75" i="33" s="1"/>
  <c r="F74" i="33" s="1"/>
  <c r="D76" i="33"/>
  <c r="D75" i="33" s="1"/>
  <c r="D74" i="33" s="1"/>
  <c r="D71" i="33"/>
  <c r="D70" i="33" s="1"/>
  <c r="D68" i="33"/>
  <c r="D66" i="33"/>
  <c r="F64" i="33"/>
  <c r="D64" i="33"/>
  <c r="D61" i="33"/>
  <c r="F59" i="33"/>
  <c r="D59" i="33"/>
  <c r="F54" i="33"/>
  <c r="F53" i="33" s="1"/>
  <c r="F52" i="33" s="1"/>
  <c r="D54" i="33"/>
  <c r="D53" i="33" s="1"/>
  <c r="D52" i="33" s="1"/>
  <c r="F49" i="33"/>
  <c r="F48" i="33" s="1"/>
  <c r="F47" i="33" s="1"/>
  <c r="D49" i="33"/>
  <c r="D48" i="33" s="1"/>
  <c r="D47" i="33" s="1"/>
  <c r="F43" i="33"/>
  <c r="F42" i="33" s="1"/>
  <c r="F41" i="33" s="1"/>
  <c r="F40" i="33" s="1"/>
  <c r="D43" i="33"/>
  <c r="D42" i="33" s="1"/>
  <c r="D41" i="33" s="1"/>
  <c r="D40" i="33" s="1"/>
  <c r="D37" i="33"/>
  <c r="H35" i="33"/>
  <c r="D31" i="33"/>
  <c r="D16" i="33"/>
  <c r="F13" i="32"/>
  <c r="H115" i="54" l="1"/>
  <c r="G110" i="54"/>
  <c r="E115" i="57"/>
  <c r="G116" i="57"/>
  <c r="H235" i="57"/>
  <c r="G234" i="57"/>
  <c r="H233" i="54"/>
  <c r="G232" i="54"/>
  <c r="H232" i="54" s="1"/>
  <c r="H160" i="54"/>
  <c r="G161" i="57"/>
  <c r="E160" i="57"/>
  <c r="E94" i="57"/>
  <c r="E93" i="57"/>
  <c r="E92" i="57" s="1"/>
  <c r="G95" i="57"/>
  <c r="H197" i="52"/>
  <c r="E197" i="54"/>
  <c r="G197" i="54" s="1"/>
  <c r="G94" i="54"/>
  <c r="H94" i="54" s="1"/>
  <c r="G93" i="54"/>
  <c r="H95" i="54"/>
  <c r="H103" i="52"/>
  <c r="G102" i="52"/>
  <c r="H102" i="52" s="1"/>
  <c r="E204" i="52"/>
  <c r="G204" i="52" s="1"/>
  <c r="H204" i="52" s="1"/>
  <c r="H298" i="52"/>
  <c r="G297" i="52"/>
  <c r="E194" i="49"/>
  <c r="G194" i="49" s="1"/>
  <c r="I196" i="46"/>
  <c r="H148" i="44"/>
  <c r="F151" i="46"/>
  <c r="H151" i="46" s="1"/>
  <c r="I193" i="46"/>
  <c r="H204" i="49"/>
  <c r="E184" i="49"/>
  <c r="G184" i="49" s="1"/>
  <c r="E184" i="52" s="1"/>
  <c r="G184" i="52" s="1"/>
  <c r="E184" i="54" s="1"/>
  <c r="G184" i="54" s="1"/>
  <c r="J183" i="46"/>
  <c r="H194" i="49"/>
  <c r="E132" i="49"/>
  <c r="J131" i="46"/>
  <c r="E100" i="49"/>
  <c r="J99" i="46"/>
  <c r="H197" i="49"/>
  <c r="E24" i="49"/>
  <c r="G24" i="49" s="1"/>
  <c r="E24" i="52" s="1"/>
  <c r="G24" i="52" s="1"/>
  <c r="H24" i="52" s="1"/>
  <c r="J24" i="46"/>
  <c r="E23" i="49"/>
  <c r="G23" i="49" s="1"/>
  <c r="E23" i="52" s="1"/>
  <c r="G23" i="52" s="1"/>
  <c r="H23" i="52" s="1"/>
  <c r="J23" i="46"/>
  <c r="E22" i="49"/>
  <c r="G22" i="49" s="1"/>
  <c r="E22" i="52" s="1"/>
  <c r="G22" i="52" s="1"/>
  <c r="J22" i="46"/>
  <c r="E19" i="49"/>
  <c r="G19" i="49" s="1"/>
  <c r="E19" i="52" s="1"/>
  <c r="G19" i="52" s="1"/>
  <c r="H19" i="52" s="1"/>
  <c r="J19" i="46"/>
  <c r="G132" i="49"/>
  <c r="E132" i="52" s="1"/>
  <c r="G132" i="52" s="1"/>
  <c r="H132" i="52" s="1"/>
  <c r="I25" i="46"/>
  <c r="E25" i="49"/>
  <c r="G25" i="49" s="1"/>
  <c r="E25" i="52" s="1"/>
  <c r="G25" i="52" s="1"/>
  <c r="H25" i="52" s="1"/>
  <c r="I180" i="46"/>
  <c r="E181" i="49"/>
  <c r="G181" i="49" s="1"/>
  <c r="E181" i="52" s="1"/>
  <c r="G181" i="52" s="1"/>
  <c r="G295" i="49"/>
  <c r="H295" i="49" s="1"/>
  <c r="H297" i="49"/>
  <c r="I183" i="46"/>
  <c r="I24" i="46"/>
  <c r="I23" i="46"/>
  <c r="I22" i="46"/>
  <c r="I19" i="46"/>
  <c r="H213" i="44"/>
  <c r="F216" i="46"/>
  <c r="H216" i="46" s="1"/>
  <c r="J216" i="46" s="1"/>
  <c r="H131" i="44"/>
  <c r="F134" i="46"/>
  <c r="H134" i="46" s="1"/>
  <c r="J134" i="46" s="1"/>
  <c r="H197" i="44"/>
  <c r="F200" i="46"/>
  <c r="H200" i="46" s="1"/>
  <c r="J200" i="46" s="1"/>
  <c r="H196" i="44"/>
  <c r="F199" i="46"/>
  <c r="H199" i="46" s="1"/>
  <c r="H187" i="44"/>
  <c r="F190" i="46"/>
  <c r="H190" i="46" s="1"/>
  <c r="J190" i="46" s="1"/>
  <c r="H184" i="44"/>
  <c r="F187" i="46"/>
  <c r="H187" i="46" s="1"/>
  <c r="J187" i="46" s="1"/>
  <c r="H183" i="44"/>
  <c r="F186" i="46"/>
  <c r="H186" i="46" s="1"/>
  <c r="J186" i="46" s="1"/>
  <c r="H176" i="44"/>
  <c r="F179" i="46"/>
  <c r="H179" i="46" s="1"/>
  <c r="J179" i="46" s="1"/>
  <c r="H175" i="44"/>
  <c r="H178" i="46"/>
  <c r="J178" i="46" s="1"/>
  <c r="H174" i="44"/>
  <c r="H177" i="46"/>
  <c r="J177" i="46" s="1"/>
  <c r="H171" i="44"/>
  <c r="F174" i="46"/>
  <c r="H174" i="46" s="1"/>
  <c r="J174" i="46" s="1"/>
  <c r="H170" i="44"/>
  <c r="F173" i="46"/>
  <c r="H173" i="46" s="1"/>
  <c r="J173" i="46" s="1"/>
  <c r="H169" i="44"/>
  <c r="F172" i="46"/>
  <c r="H172" i="46" s="1"/>
  <c r="J172" i="46" s="1"/>
  <c r="H168" i="44"/>
  <c r="F171" i="46"/>
  <c r="H171" i="46" s="1"/>
  <c r="J171" i="46" s="1"/>
  <c r="H167" i="44"/>
  <c r="F170" i="46"/>
  <c r="H170" i="46" s="1"/>
  <c r="J170" i="46" s="1"/>
  <c r="H211" i="44"/>
  <c r="F214" i="46"/>
  <c r="H214" i="46" s="1"/>
  <c r="J214" i="46" s="1"/>
  <c r="H209" i="44"/>
  <c r="F212" i="46"/>
  <c r="H212" i="46" s="1"/>
  <c r="J212" i="46" s="1"/>
  <c r="H210" i="44"/>
  <c r="F213" i="46"/>
  <c r="H213" i="46" s="1"/>
  <c r="J213" i="46" s="1"/>
  <c r="H147" i="44"/>
  <c r="F150" i="46"/>
  <c r="H150" i="46" s="1"/>
  <c r="J150" i="46" s="1"/>
  <c r="H214" i="44"/>
  <c r="F217" i="46"/>
  <c r="H217" i="46" s="1"/>
  <c r="J217" i="46" s="1"/>
  <c r="H212" i="44"/>
  <c r="F215" i="46"/>
  <c r="H215" i="46" s="1"/>
  <c r="J215" i="46" s="1"/>
  <c r="H206" i="44"/>
  <c r="F209" i="46"/>
  <c r="H209" i="46" s="1"/>
  <c r="J209" i="46" s="1"/>
  <c r="H207" i="44"/>
  <c r="F210" i="46"/>
  <c r="H210" i="46" s="1"/>
  <c r="J210" i="46" s="1"/>
  <c r="H144" i="44"/>
  <c r="F147" i="46"/>
  <c r="H147" i="46" s="1"/>
  <c r="J147" i="46" s="1"/>
  <c r="F20" i="46"/>
  <c r="H20" i="46" s="1"/>
  <c r="H150" i="44"/>
  <c r="F153" i="46"/>
  <c r="H153" i="46" s="1"/>
  <c r="J153" i="46" s="1"/>
  <c r="H143" i="44"/>
  <c r="F146" i="46"/>
  <c r="H146" i="46" s="1"/>
  <c r="J146" i="46" s="1"/>
  <c r="H142" i="44"/>
  <c r="F145" i="46"/>
  <c r="H145" i="46" s="1"/>
  <c r="J145" i="46" s="1"/>
  <c r="H146" i="44"/>
  <c r="F149" i="46"/>
  <c r="H149" i="46" s="1"/>
  <c r="J149" i="46" s="1"/>
  <c r="F27" i="46"/>
  <c r="H27" i="46" s="1"/>
  <c r="H19" i="44"/>
  <c r="H25" i="44"/>
  <c r="H96" i="44"/>
  <c r="G95" i="44"/>
  <c r="G191" i="40"/>
  <c r="H191" i="40" s="1"/>
  <c r="H192" i="40"/>
  <c r="H192" i="42"/>
  <c r="G191" i="42"/>
  <c r="H191" i="42" s="1"/>
  <c r="E192" i="44"/>
  <c r="G191" i="38"/>
  <c r="H191" i="38" s="1"/>
  <c r="E195" i="40"/>
  <c r="E45" i="44"/>
  <c r="G45" i="44" s="1"/>
  <c r="H95" i="42"/>
  <c r="G94" i="42"/>
  <c r="E188" i="40"/>
  <c r="G189" i="40"/>
  <c r="H94" i="40"/>
  <c r="G93" i="40"/>
  <c r="H93" i="40" s="1"/>
  <c r="F27" i="41"/>
  <c r="G27" i="47"/>
  <c r="E102" i="38"/>
  <c r="H45" i="42"/>
  <c r="I99" i="46"/>
  <c r="H98" i="46"/>
  <c r="J98" i="46" s="1"/>
  <c r="G189" i="42"/>
  <c r="E188" i="42"/>
  <c r="H27" i="44"/>
  <c r="H24" i="44"/>
  <c r="H23" i="44"/>
  <c r="H22" i="44"/>
  <c r="H20" i="44"/>
  <c r="E282" i="44"/>
  <c r="E281" i="44" s="1"/>
  <c r="E185" i="44"/>
  <c r="I131" i="46"/>
  <c r="E179" i="44"/>
  <c r="E178" i="44" s="1"/>
  <c r="E294" i="44"/>
  <c r="G294" i="44" s="1"/>
  <c r="F297" i="46" s="1"/>
  <c r="F296" i="46" s="1"/>
  <c r="H189" i="46"/>
  <c r="E79" i="44"/>
  <c r="E78" i="44" s="1"/>
  <c r="E77" i="44" s="1"/>
  <c r="E76" i="44" s="1"/>
  <c r="E141" i="44"/>
  <c r="E44" i="44"/>
  <c r="G44" i="44" s="1"/>
  <c r="F47" i="46" s="1"/>
  <c r="E18" i="44"/>
  <c r="G18" i="44" s="1"/>
  <c r="E129" i="44"/>
  <c r="G141" i="44"/>
  <c r="F144" i="46" s="1"/>
  <c r="H205" i="42"/>
  <c r="E205" i="44"/>
  <c r="G21" i="44"/>
  <c r="F21" i="46" s="1"/>
  <c r="H21" i="46" s="1"/>
  <c r="H145" i="42"/>
  <c r="E145" i="44"/>
  <c r="G145" i="44" s="1"/>
  <c r="H298" i="42"/>
  <c r="E298" i="44"/>
  <c r="G298" i="44" s="1"/>
  <c r="E293" i="42"/>
  <c r="H123" i="42"/>
  <c r="E123" i="44"/>
  <c r="G123" i="44" s="1"/>
  <c r="H186" i="44"/>
  <c r="G185" i="44"/>
  <c r="H185" i="44" s="1"/>
  <c r="H18" i="42"/>
  <c r="E281" i="42"/>
  <c r="E230" i="42" s="1"/>
  <c r="G208" i="42"/>
  <c r="E204" i="42"/>
  <c r="E203" i="42" s="1"/>
  <c r="E202" i="42" s="1"/>
  <c r="G220" i="42"/>
  <c r="E140" i="42"/>
  <c r="E78" i="42"/>
  <c r="E77" i="42" s="1"/>
  <c r="E76" i="42" s="1"/>
  <c r="E43" i="42"/>
  <c r="E42" i="42" s="1"/>
  <c r="E41" i="42" s="1"/>
  <c r="E40" i="42" s="1"/>
  <c r="E31" i="42"/>
  <c r="E159" i="40"/>
  <c r="E155" i="40" s="1"/>
  <c r="G160" i="40"/>
  <c r="H136" i="40"/>
  <c r="E136" i="42"/>
  <c r="G135" i="40"/>
  <c r="G122" i="42"/>
  <c r="E121" i="42"/>
  <c r="G112" i="38"/>
  <c r="H112" i="38" s="1"/>
  <c r="E115" i="40"/>
  <c r="H129" i="42"/>
  <c r="H130" i="40"/>
  <c r="E130" i="42"/>
  <c r="E126" i="42" s="1"/>
  <c r="E125" i="42" s="1"/>
  <c r="H127" i="40"/>
  <c r="G50" i="40"/>
  <c r="H51" i="40"/>
  <c r="G52" i="42"/>
  <c r="E51" i="42"/>
  <c r="E50" i="42" s="1"/>
  <c r="E49" i="42" s="1"/>
  <c r="H199" i="40"/>
  <c r="E199" i="42"/>
  <c r="G198" i="40"/>
  <c r="H198" i="40" s="1"/>
  <c r="H182" i="40"/>
  <c r="E182" i="42"/>
  <c r="G181" i="40"/>
  <c r="H181" i="40" s="1"/>
  <c r="H179" i="42"/>
  <c r="G178" i="42"/>
  <c r="H178" i="42" s="1"/>
  <c r="G173" i="42"/>
  <c r="E172" i="42"/>
  <c r="E166" i="42"/>
  <c r="G165" i="40"/>
  <c r="H165" i="40" s="1"/>
  <c r="H166" i="40"/>
  <c r="G78" i="40"/>
  <c r="H79" i="40"/>
  <c r="H79" i="42"/>
  <c r="G78" i="42"/>
  <c r="G219" i="40"/>
  <c r="H220" i="40"/>
  <c r="G203" i="40"/>
  <c r="H204" i="40"/>
  <c r="H292" i="40"/>
  <c r="G291" i="40"/>
  <c r="H291" i="40" s="1"/>
  <c r="E231" i="40"/>
  <c r="E230" i="40" s="1"/>
  <c r="E229" i="40" s="1"/>
  <c r="E228" i="40" s="1"/>
  <c r="G293" i="42"/>
  <c r="H293" i="42" s="1"/>
  <c r="H294" i="42"/>
  <c r="H282" i="42"/>
  <c r="G281" i="42"/>
  <c r="H280" i="40"/>
  <c r="G279" i="40"/>
  <c r="H44" i="42"/>
  <c r="G43" i="42"/>
  <c r="H44" i="40"/>
  <c r="G43" i="40"/>
  <c r="G38" i="40"/>
  <c r="E38" i="42" s="1"/>
  <c r="E37" i="40"/>
  <c r="E30" i="40" s="1"/>
  <c r="E29" i="40" s="1"/>
  <c r="H32" i="40"/>
  <c r="G31" i="40"/>
  <c r="H141" i="42"/>
  <c r="G140" i="42"/>
  <c r="H141" i="40"/>
  <c r="G140" i="40"/>
  <c r="H140" i="40" s="1"/>
  <c r="G17" i="40"/>
  <c r="E13" i="38"/>
  <c r="E16" i="38"/>
  <c r="H178" i="40"/>
  <c r="H157" i="38"/>
  <c r="G156" i="38"/>
  <c r="H123" i="38"/>
  <c r="H124" i="38"/>
  <c r="H228" i="38"/>
  <c r="G199" i="38"/>
  <c r="H199" i="38" s="1"/>
  <c r="H200" i="38"/>
  <c r="H215" i="38"/>
  <c r="G214" i="38"/>
  <c r="G74" i="38"/>
  <c r="H74" i="38" s="1"/>
  <c r="H75" i="38"/>
  <c r="G47" i="38"/>
  <c r="H47" i="38" s="1"/>
  <c r="H48" i="38"/>
  <c r="G41" i="38"/>
  <c r="H42" i="38"/>
  <c r="G30" i="38"/>
  <c r="H30" i="38" s="1"/>
  <c r="H227" i="36"/>
  <c r="H214" i="36"/>
  <c r="G213" i="36"/>
  <c r="H213" i="36" s="1"/>
  <c r="H175" i="38"/>
  <c r="G161" i="38"/>
  <c r="H175" i="36"/>
  <c r="G161" i="36"/>
  <c r="F27" i="32"/>
  <c r="F27" i="39"/>
  <c r="G27" i="39" s="1"/>
  <c r="F27" i="35"/>
  <c r="G27" i="35" s="1"/>
  <c r="G102" i="34"/>
  <c r="H102" i="34" s="1"/>
  <c r="H148" i="33"/>
  <c r="E148" i="34"/>
  <c r="E137" i="34" s="1"/>
  <c r="E102" i="34" s="1"/>
  <c r="E12" i="34" s="1"/>
  <c r="E11" i="34" s="1"/>
  <c r="E459" i="34" s="1"/>
  <c r="F29" i="32"/>
  <c r="F29" i="35"/>
  <c r="D432" i="33"/>
  <c r="D429" i="33" s="1"/>
  <c r="D415" i="33" s="1"/>
  <c r="G225" i="34"/>
  <c r="H225" i="34" s="1"/>
  <c r="H226" i="34"/>
  <c r="D228" i="33"/>
  <c r="G40" i="36"/>
  <c r="H40" i="36" s="1"/>
  <c r="H41" i="36"/>
  <c r="H30" i="36"/>
  <c r="G29" i="36"/>
  <c r="H29" i="36" s="1"/>
  <c r="H199" i="36"/>
  <c r="H29" i="34"/>
  <c r="D297" i="33"/>
  <c r="G356" i="33"/>
  <c r="D363" i="33"/>
  <c r="F83" i="33"/>
  <c r="F80" i="33" s="1"/>
  <c r="F79" i="33" s="1"/>
  <c r="G84" i="33"/>
  <c r="E84" i="34" s="1"/>
  <c r="G84" i="34" s="1"/>
  <c r="D441" i="33"/>
  <c r="D440" i="33" s="1"/>
  <c r="D439" i="33" s="1"/>
  <c r="H241" i="33"/>
  <c r="F348" i="33"/>
  <c r="G360" i="33"/>
  <c r="F441" i="33"/>
  <c r="F440" i="33" s="1"/>
  <c r="F439" i="33" s="1"/>
  <c r="D58" i="33"/>
  <c r="G353" i="33"/>
  <c r="G358" i="33"/>
  <c r="H456" i="33"/>
  <c r="H175" i="33"/>
  <c r="H343" i="33"/>
  <c r="D63" i="33"/>
  <c r="G351" i="33"/>
  <c r="H390" i="33"/>
  <c r="H436" i="33"/>
  <c r="H345" i="33"/>
  <c r="D325" i="33"/>
  <c r="D161" i="33"/>
  <c r="D160" i="33" s="1"/>
  <c r="D159" i="33" s="1"/>
  <c r="D152" i="33"/>
  <c r="D102" i="33" s="1"/>
  <c r="H150" i="33"/>
  <c r="D30" i="33"/>
  <c r="D29" i="33" s="1"/>
  <c r="F432" i="33"/>
  <c r="F429" i="33" s="1"/>
  <c r="F363" i="33"/>
  <c r="H346" i="33"/>
  <c r="G409" i="33"/>
  <c r="G408" i="33" s="1"/>
  <c r="H408" i="33" s="1"/>
  <c r="H260" i="33"/>
  <c r="H154" i="33"/>
  <c r="G153" i="33"/>
  <c r="H153" i="33" s="1"/>
  <c r="G76" i="33"/>
  <c r="G97" i="33"/>
  <c r="H117" i="33"/>
  <c r="G116" i="33"/>
  <c r="G109" i="33"/>
  <c r="D80" i="33"/>
  <c r="D79" i="33" s="1"/>
  <c r="H222" i="33"/>
  <c r="H261" i="33"/>
  <c r="G282" i="33"/>
  <c r="H282" i="33" s="1"/>
  <c r="F325" i="33"/>
  <c r="F161" i="33"/>
  <c r="F160" i="33" s="1"/>
  <c r="F159" i="33" s="1"/>
  <c r="H176" i="33"/>
  <c r="F230" i="33"/>
  <c r="F229" i="33" s="1"/>
  <c r="F228" i="33" s="1"/>
  <c r="F152" i="33"/>
  <c r="G290" i="33"/>
  <c r="H290" i="33" s="1"/>
  <c r="G317" i="33"/>
  <c r="H338" i="33"/>
  <c r="G337" i="33"/>
  <c r="H337" i="33" s="1"/>
  <c r="H320" i="33"/>
  <c r="H319" i="33"/>
  <c r="H336" i="33"/>
  <c r="G335" i="33"/>
  <c r="H335" i="33" s="1"/>
  <c r="H371" i="33"/>
  <c r="G370" i="33"/>
  <c r="G430" i="33"/>
  <c r="H197" i="33"/>
  <c r="H342" i="33"/>
  <c r="G341" i="33"/>
  <c r="H341" i="33" s="1"/>
  <c r="H374" i="33"/>
  <c r="G373" i="33"/>
  <c r="H373" i="33" s="1"/>
  <c r="H273" i="33"/>
  <c r="G272" i="33"/>
  <c r="H272" i="33" s="1"/>
  <c r="H299" i="33"/>
  <c r="H298" i="33"/>
  <c r="G349" i="33"/>
  <c r="D348" i="33"/>
  <c r="H110" i="54" l="1"/>
  <c r="G115" i="57"/>
  <c r="H115" i="57" s="1"/>
  <c r="H116" i="57"/>
  <c r="H234" i="57"/>
  <c r="G233" i="57"/>
  <c r="H161" i="57"/>
  <c r="G160" i="57"/>
  <c r="H197" i="54"/>
  <c r="H197" i="57"/>
  <c r="H184" i="54"/>
  <c r="H184" i="57"/>
  <c r="G93" i="57"/>
  <c r="H95" i="57"/>
  <c r="G94" i="57"/>
  <c r="H94" i="57" s="1"/>
  <c r="H22" i="52"/>
  <c r="E22" i="54"/>
  <c r="G22" i="54" s="1"/>
  <c r="H181" i="52"/>
  <c r="E181" i="54"/>
  <c r="G181" i="54" s="1"/>
  <c r="H93" i="54"/>
  <c r="G92" i="54"/>
  <c r="H92" i="54" s="1"/>
  <c r="G194" i="54"/>
  <c r="E194" i="57" s="1"/>
  <c r="G194" i="57" s="1"/>
  <c r="E194" i="52"/>
  <c r="G194" i="52" s="1"/>
  <c r="H194" i="52" s="1"/>
  <c r="G204" i="54"/>
  <c r="H297" i="52"/>
  <c r="G295" i="52"/>
  <c r="H295" i="52" s="1"/>
  <c r="G100" i="49"/>
  <c r="E100" i="52" s="1"/>
  <c r="E99" i="52" s="1"/>
  <c r="E98" i="52" s="1"/>
  <c r="E97" i="52" s="1"/>
  <c r="E99" i="49"/>
  <c r="E98" i="49" s="1"/>
  <c r="E97" i="49" s="1"/>
  <c r="H184" i="52"/>
  <c r="J151" i="46"/>
  <c r="I151" i="46"/>
  <c r="E152" i="49"/>
  <c r="G152" i="49" s="1"/>
  <c r="E152" i="52" s="1"/>
  <c r="G152" i="52" s="1"/>
  <c r="H152" i="52" s="1"/>
  <c r="H181" i="49"/>
  <c r="E190" i="49"/>
  <c r="J189" i="46"/>
  <c r="E200" i="49"/>
  <c r="G200" i="49" s="1"/>
  <c r="E200" i="52" s="1"/>
  <c r="G200" i="52" s="1"/>
  <c r="E200" i="54" s="1"/>
  <c r="G200" i="54" s="1"/>
  <c r="J199" i="46"/>
  <c r="H184" i="49"/>
  <c r="H24" i="49"/>
  <c r="H23" i="49"/>
  <c r="H22" i="49"/>
  <c r="H19" i="49"/>
  <c r="J27" i="46"/>
  <c r="E21" i="49"/>
  <c r="G21" i="49" s="1"/>
  <c r="E21" i="52" s="1"/>
  <c r="G21" i="52" s="1"/>
  <c r="J21" i="46"/>
  <c r="E20" i="49"/>
  <c r="G20" i="49" s="1"/>
  <c r="E20" i="52" s="1"/>
  <c r="G20" i="52" s="1"/>
  <c r="H20" i="52" s="1"/>
  <c r="J20" i="46"/>
  <c r="F188" i="46"/>
  <c r="G190" i="49"/>
  <c r="E190" i="52" s="1"/>
  <c r="G190" i="52" s="1"/>
  <c r="E190" i="54" s="1"/>
  <c r="I147" i="46"/>
  <c r="E148" i="49"/>
  <c r="G148" i="49" s="1"/>
  <c r="E148" i="52" s="1"/>
  <c r="G148" i="52" s="1"/>
  <c r="H148" i="52" s="1"/>
  <c r="I217" i="46"/>
  <c r="E218" i="49"/>
  <c r="G218" i="49" s="1"/>
  <c r="E218" i="52" s="1"/>
  <c r="G218" i="52" s="1"/>
  <c r="I213" i="46"/>
  <c r="E214" i="49"/>
  <c r="G214" i="49" s="1"/>
  <c r="E214" i="52" s="1"/>
  <c r="G214" i="52" s="1"/>
  <c r="I214" i="46"/>
  <c r="E215" i="49"/>
  <c r="G215" i="49" s="1"/>
  <c r="E215" i="52" s="1"/>
  <c r="G215" i="52" s="1"/>
  <c r="I171" i="46"/>
  <c r="G172" i="49"/>
  <c r="E172" i="52" s="1"/>
  <c r="G172" i="52" s="1"/>
  <c r="I173" i="46"/>
  <c r="E174" i="49"/>
  <c r="G174" i="49" s="1"/>
  <c r="E174" i="52" s="1"/>
  <c r="G174" i="52" s="1"/>
  <c r="I177" i="46"/>
  <c r="E178" i="49"/>
  <c r="G178" i="49" s="1"/>
  <c r="E178" i="52" s="1"/>
  <c r="G178" i="52" s="1"/>
  <c r="I179" i="46"/>
  <c r="E180" i="49"/>
  <c r="G180" i="49" s="1"/>
  <c r="E180" i="52" s="1"/>
  <c r="G180" i="52" s="1"/>
  <c r="I187" i="46"/>
  <c r="E188" i="49"/>
  <c r="G188" i="49" s="1"/>
  <c r="E188" i="52" s="1"/>
  <c r="G188" i="52" s="1"/>
  <c r="I134" i="46"/>
  <c r="E135" i="49"/>
  <c r="G135" i="49" s="1"/>
  <c r="E135" i="52" s="1"/>
  <c r="G135" i="52" s="1"/>
  <c r="I209" i="46"/>
  <c r="E210" i="49"/>
  <c r="G210" i="49" s="1"/>
  <c r="E210" i="52" s="1"/>
  <c r="G210" i="52" s="1"/>
  <c r="I146" i="46"/>
  <c r="E147" i="49"/>
  <c r="G147" i="49" s="1"/>
  <c r="E147" i="52" s="1"/>
  <c r="G147" i="52" s="1"/>
  <c r="H147" i="52" s="1"/>
  <c r="I210" i="46"/>
  <c r="E211" i="49"/>
  <c r="G211" i="49" s="1"/>
  <c r="E211" i="52" s="1"/>
  <c r="G211" i="52" s="1"/>
  <c r="H211" i="52" s="1"/>
  <c r="I215" i="46"/>
  <c r="E216" i="49"/>
  <c r="G216" i="49" s="1"/>
  <c r="E216" i="52" s="1"/>
  <c r="I150" i="46"/>
  <c r="E151" i="49"/>
  <c r="G151" i="49" s="1"/>
  <c r="E151" i="52" s="1"/>
  <c r="G151" i="52" s="1"/>
  <c r="H151" i="52" s="1"/>
  <c r="I212" i="46"/>
  <c r="E213" i="49"/>
  <c r="G213" i="49" s="1"/>
  <c r="E213" i="52" s="1"/>
  <c r="G213" i="52" s="1"/>
  <c r="I170" i="46"/>
  <c r="G171" i="49"/>
  <c r="E171" i="52" s="1"/>
  <c r="G171" i="52" s="1"/>
  <c r="I172" i="46"/>
  <c r="G173" i="49"/>
  <c r="E173" i="52" s="1"/>
  <c r="G173" i="52" s="1"/>
  <c r="I174" i="46"/>
  <c r="E175" i="49"/>
  <c r="G175" i="49" s="1"/>
  <c r="E175" i="52" s="1"/>
  <c r="G175" i="52" s="1"/>
  <c r="I178" i="46"/>
  <c r="E179" i="49"/>
  <c r="G179" i="49" s="1"/>
  <c r="E179" i="52" s="1"/>
  <c r="G179" i="52" s="1"/>
  <c r="I186" i="46"/>
  <c r="E187" i="49"/>
  <c r="G187" i="49" s="1"/>
  <c r="E187" i="52" s="1"/>
  <c r="G187" i="52" s="1"/>
  <c r="I190" i="46"/>
  <c r="E191" i="49"/>
  <c r="G191" i="49" s="1"/>
  <c r="E191" i="52" s="1"/>
  <c r="G191" i="52" s="1"/>
  <c r="I200" i="46"/>
  <c r="E201" i="49"/>
  <c r="G201" i="49" s="1"/>
  <c r="E201" i="52" s="1"/>
  <c r="G201" i="52" s="1"/>
  <c r="I216" i="46"/>
  <c r="E217" i="49"/>
  <c r="G217" i="49" s="1"/>
  <c r="E217" i="52" s="1"/>
  <c r="G217" i="52" s="1"/>
  <c r="H132" i="49"/>
  <c r="I153" i="46"/>
  <c r="E154" i="49"/>
  <c r="G154" i="49" s="1"/>
  <c r="E154" i="52" s="1"/>
  <c r="G154" i="52" s="1"/>
  <c r="H154" i="52" s="1"/>
  <c r="I149" i="46"/>
  <c r="E150" i="49"/>
  <c r="G150" i="49" s="1"/>
  <c r="E150" i="52" s="1"/>
  <c r="G150" i="52" s="1"/>
  <c r="H150" i="52" s="1"/>
  <c r="I145" i="46"/>
  <c r="E146" i="49"/>
  <c r="I27" i="46"/>
  <c r="E27" i="49"/>
  <c r="G27" i="49" s="1"/>
  <c r="E27" i="52" s="1"/>
  <c r="G27" i="52" s="1"/>
  <c r="I20" i="46"/>
  <c r="I21" i="46"/>
  <c r="H123" i="44"/>
  <c r="F126" i="46"/>
  <c r="H126" i="46" s="1"/>
  <c r="H145" i="44"/>
  <c r="F148" i="46"/>
  <c r="H148" i="46" s="1"/>
  <c r="J148" i="46" s="1"/>
  <c r="H298" i="44"/>
  <c r="F301" i="46"/>
  <c r="F18" i="46"/>
  <c r="H18" i="46" s="1"/>
  <c r="H45" i="44"/>
  <c r="F48" i="46"/>
  <c r="H48" i="46" s="1"/>
  <c r="H189" i="42"/>
  <c r="E189" i="44"/>
  <c r="G188" i="42"/>
  <c r="H188" i="42" s="1"/>
  <c r="F194" i="46"/>
  <c r="G179" i="44"/>
  <c r="H97" i="46"/>
  <c r="J97" i="46" s="1"/>
  <c r="I98" i="46"/>
  <c r="G21" i="47"/>
  <c r="G188" i="40"/>
  <c r="H188" i="40" s="1"/>
  <c r="H189" i="40"/>
  <c r="G192" i="44"/>
  <c r="F195" i="46" s="1"/>
  <c r="H195" i="46" s="1"/>
  <c r="E191" i="44"/>
  <c r="F30" i="41"/>
  <c r="F28" i="41" s="1"/>
  <c r="G28" i="47"/>
  <c r="F34" i="41"/>
  <c r="G34" i="47"/>
  <c r="F33" i="45"/>
  <c r="F33" i="43"/>
  <c r="G195" i="40"/>
  <c r="E194" i="40"/>
  <c r="E164" i="40" s="1"/>
  <c r="E163" i="40" s="1"/>
  <c r="E162" i="40" s="1"/>
  <c r="G94" i="44"/>
  <c r="H95" i="44"/>
  <c r="F415" i="33"/>
  <c r="H27" i="39"/>
  <c r="F27" i="47"/>
  <c r="H27" i="47" s="1"/>
  <c r="E27" i="41"/>
  <c r="G27" i="41" s="1"/>
  <c r="H27" i="41" s="1"/>
  <c r="E229" i="42"/>
  <c r="E228" i="42" s="1"/>
  <c r="H94" i="42"/>
  <c r="G93" i="42"/>
  <c r="H93" i="42" s="1"/>
  <c r="H21" i="44"/>
  <c r="H18" i="44"/>
  <c r="G282" i="44"/>
  <c r="F285" i="46" s="1"/>
  <c r="F284" i="46" s="1"/>
  <c r="G79" i="44"/>
  <c r="E293" i="44"/>
  <c r="E230" i="44" s="1"/>
  <c r="E122" i="44"/>
  <c r="E121" i="44" s="1"/>
  <c r="E208" i="44"/>
  <c r="G208" i="44" s="1"/>
  <c r="H297" i="46"/>
  <c r="J297" i="46" s="1"/>
  <c r="I199" i="46"/>
  <c r="I189" i="46"/>
  <c r="H188" i="46"/>
  <c r="E173" i="44"/>
  <c r="G173" i="44" s="1"/>
  <c r="F176" i="46" s="1"/>
  <c r="E43" i="44"/>
  <c r="E42" i="44" s="1"/>
  <c r="E41" i="44" s="1"/>
  <c r="E40" i="44" s="1"/>
  <c r="H144" i="46"/>
  <c r="E52" i="44"/>
  <c r="E51" i="44" s="1"/>
  <c r="E50" i="44" s="1"/>
  <c r="E49" i="44" s="1"/>
  <c r="H47" i="46"/>
  <c r="G129" i="44"/>
  <c r="G205" i="44"/>
  <c r="F208" i="46" s="1"/>
  <c r="H208" i="46" s="1"/>
  <c r="J208" i="46" s="1"/>
  <c r="H44" i="44"/>
  <c r="G43" i="44"/>
  <c r="H282" i="44"/>
  <c r="G281" i="44"/>
  <c r="H179" i="44"/>
  <c r="E140" i="44"/>
  <c r="H220" i="42"/>
  <c r="E220" i="44"/>
  <c r="H294" i="44"/>
  <c r="G293" i="44"/>
  <c r="H293" i="44" s="1"/>
  <c r="H141" i="44"/>
  <c r="G140" i="44"/>
  <c r="H140" i="44" s="1"/>
  <c r="G219" i="42"/>
  <c r="G218" i="42" s="1"/>
  <c r="H208" i="42"/>
  <c r="G204" i="42"/>
  <c r="E17" i="42"/>
  <c r="G17" i="42" s="1"/>
  <c r="E37" i="42"/>
  <c r="E30" i="42" s="1"/>
  <c r="E29" i="42" s="1"/>
  <c r="H160" i="40"/>
  <c r="E160" i="42"/>
  <c r="G159" i="40"/>
  <c r="H135" i="40"/>
  <c r="G134" i="40"/>
  <c r="H134" i="40" s="1"/>
  <c r="G136" i="42"/>
  <c r="E135" i="42"/>
  <c r="E134" i="42" s="1"/>
  <c r="H122" i="42"/>
  <c r="G121" i="42"/>
  <c r="H121" i="42" s="1"/>
  <c r="E114" i="40"/>
  <c r="G115" i="40"/>
  <c r="H125" i="40"/>
  <c r="H126" i="40"/>
  <c r="G130" i="42"/>
  <c r="G51" i="42"/>
  <c r="H52" i="42"/>
  <c r="G49" i="40"/>
  <c r="H49" i="40" s="1"/>
  <c r="H50" i="40"/>
  <c r="E198" i="42"/>
  <c r="G199" i="42"/>
  <c r="G182" i="42"/>
  <c r="E181" i="42"/>
  <c r="H173" i="42"/>
  <c r="G172" i="42"/>
  <c r="H172" i="42" s="1"/>
  <c r="G166" i="42"/>
  <c r="E165" i="42"/>
  <c r="H78" i="42"/>
  <c r="G77" i="42"/>
  <c r="G77" i="40"/>
  <c r="H78" i="40"/>
  <c r="G218" i="40"/>
  <c r="H219" i="40"/>
  <c r="H219" i="42"/>
  <c r="G202" i="40"/>
  <c r="H202" i="40" s="1"/>
  <c r="H203" i="40"/>
  <c r="H281" i="42"/>
  <c r="H279" i="40"/>
  <c r="G231" i="40"/>
  <c r="E26" i="40"/>
  <c r="G42" i="42"/>
  <c r="H43" i="42"/>
  <c r="G42" i="40"/>
  <c r="H43" i="40"/>
  <c r="G37" i="40"/>
  <c r="H37" i="40" s="1"/>
  <c r="H38" i="40"/>
  <c r="H31" i="40"/>
  <c r="H140" i="42"/>
  <c r="H17" i="40"/>
  <c r="H26" i="38"/>
  <c r="G13" i="38"/>
  <c r="H13" i="38" s="1"/>
  <c r="G16" i="38"/>
  <c r="H16" i="38" s="1"/>
  <c r="H156" i="38"/>
  <c r="G152" i="38"/>
  <c r="H152" i="38" s="1"/>
  <c r="G348" i="33"/>
  <c r="F33" i="41"/>
  <c r="G34" i="41"/>
  <c r="H34" i="41" s="1"/>
  <c r="G29" i="38"/>
  <c r="H29" i="38" s="1"/>
  <c r="H227" i="38"/>
  <c r="H214" i="38"/>
  <c r="G213" i="38"/>
  <c r="H213" i="38" s="1"/>
  <c r="H41" i="38"/>
  <c r="G40" i="38"/>
  <c r="H40" i="38" s="1"/>
  <c r="E84" i="36"/>
  <c r="G84" i="36" s="1"/>
  <c r="H226" i="36"/>
  <c r="H225" i="36"/>
  <c r="H27" i="35"/>
  <c r="E27" i="37"/>
  <c r="G27" i="37" s="1"/>
  <c r="H27" i="37" s="1"/>
  <c r="D57" i="33"/>
  <c r="H161" i="36"/>
  <c r="G160" i="36"/>
  <c r="F34" i="32"/>
  <c r="F34" i="39"/>
  <c r="F34" i="35"/>
  <c r="F26" i="32"/>
  <c r="H161" i="38"/>
  <c r="G160" i="38"/>
  <c r="F30" i="32"/>
  <c r="F30" i="35"/>
  <c r="G30" i="35" s="1"/>
  <c r="F295" i="33"/>
  <c r="F22" i="41" s="1"/>
  <c r="F21" i="41" s="1"/>
  <c r="F28" i="39"/>
  <c r="F102" i="33"/>
  <c r="F19" i="32" s="1"/>
  <c r="G83" i="34"/>
  <c r="H84" i="34"/>
  <c r="H76" i="33"/>
  <c r="G75" i="33"/>
  <c r="D295" i="33"/>
  <c r="D227" i="33" s="1"/>
  <c r="D226" i="33" s="1"/>
  <c r="D225" i="33" s="1"/>
  <c r="H409" i="33"/>
  <c r="H434" i="33"/>
  <c r="G433" i="33"/>
  <c r="H370" i="33"/>
  <c r="H383" i="33"/>
  <c r="H183" i="33"/>
  <c r="G182" i="33"/>
  <c r="H182" i="33" s="1"/>
  <c r="H186" i="33"/>
  <c r="H340" i="33"/>
  <c r="G339" i="33"/>
  <c r="H339" i="33" s="1"/>
  <c r="G220" i="33"/>
  <c r="H443" i="33"/>
  <c r="G442" i="33"/>
  <c r="G441" i="33" s="1"/>
  <c r="H265" i="33"/>
  <c r="H264" i="33"/>
  <c r="H116" i="33"/>
  <c r="G115" i="33"/>
  <c r="D14" i="33"/>
  <c r="D12" i="33" s="1"/>
  <c r="G268" i="33"/>
  <c r="H268" i="33" s="1"/>
  <c r="H242" i="33"/>
  <c r="H240" i="33"/>
  <c r="H281" i="33"/>
  <c r="G280" i="33"/>
  <c r="H280" i="33" s="1"/>
  <c r="H305" i="33"/>
  <c r="H190" i="33"/>
  <c r="G188" i="33"/>
  <c r="H188" i="33" s="1"/>
  <c r="H394" i="33"/>
  <c r="G393" i="33"/>
  <c r="H393" i="33" s="1"/>
  <c r="G96" i="33"/>
  <c r="H96" i="33" s="1"/>
  <c r="H97" i="33"/>
  <c r="H21" i="52" l="1"/>
  <c r="E21" i="54"/>
  <c r="G21" i="54" s="1"/>
  <c r="H233" i="57"/>
  <c r="G232" i="57"/>
  <c r="H232" i="57" s="1"/>
  <c r="H160" i="57"/>
  <c r="H194" i="54"/>
  <c r="H194" i="57"/>
  <c r="H200" i="54"/>
  <c r="H200" i="57"/>
  <c r="H181" i="54"/>
  <c r="H181" i="57"/>
  <c r="H93" i="57"/>
  <c r="G92" i="57"/>
  <c r="H92" i="57" s="1"/>
  <c r="H22" i="54"/>
  <c r="G22" i="57"/>
  <c r="H22" i="57" s="1"/>
  <c r="H215" i="52"/>
  <c r="E215" i="54"/>
  <c r="G215" i="54" s="1"/>
  <c r="H213" i="52"/>
  <c r="E213" i="54"/>
  <c r="G213" i="54" s="1"/>
  <c r="H218" i="52"/>
  <c r="E218" i="54"/>
  <c r="G218" i="54" s="1"/>
  <c r="H217" i="52"/>
  <c r="E217" i="54"/>
  <c r="G217" i="54" s="1"/>
  <c r="H210" i="52"/>
  <c r="E210" i="54"/>
  <c r="G210" i="54" s="1"/>
  <c r="H214" i="52"/>
  <c r="E214" i="54"/>
  <c r="G214" i="54" s="1"/>
  <c r="H201" i="52"/>
  <c r="E201" i="54"/>
  <c r="G201" i="54" s="1"/>
  <c r="H191" i="52"/>
  <c r="E191" i="54"/>
  <c r="G191" i="54" s="1"/>
  <c r="G190" i="54"/>
  <c r="E189" i="54"/>
  <c r="H188" i="52"/>
  <c r="E188" i="54"/>
  <c r="G188" i="54" s="1"/>
  <c r="H187" i="52"/>
  <c r="E187" i="54"/>
  <c r="G187" i="54" s="1"/>
  <c r="H180" i="52"/>
  <c r="E180" i="54"/>
  <c r="G180" i="54" s="1"/>
  <c r="H179" i="52"/>
  <c r="E179" i="54"/>
  <c r="G179" i="54" s="1"/>
  <c r="H178" i="52"/>
  <c r="E178" i="54"/>
  <c r="G178" i="54" s="1"/>
  <c r="H175" i="52"/>
  <c r="E175" i="54"/>
  <c r="G175" i="54" s="1"/>
  <c r="H174" i="52"/>
  <c r="E174" i="54"/>
  <c r="G174" i="54" s="1"/>
  <c r="H173" i="52"/>
  <c r="E173" i="54"/>
  <c r="G173" i="54" s="1"/>
  <c r="H172" i="52"/>
  <c r="E172" i="54"/>
  <c r="G172" i="54" s="1"/>
  <c r="H171" i="52"/>
  <c r="E171" i="54"/>
  <c r="G171" i="54" s="1"/>
  <c r="H27" i="52"/>
  <c r="E27" i="54"/>
  <c r="H204" i="54"/>
  <c r="G99" i="49"/>
  <c r="G98" i="49" s="1"/>
  <c r="G97" i="49" s="1"/>
  <c r="H97" i="49" s="1"/>
  <c r="H100" i="49"/>
  <c r="G100" i="52"/>
  <c r="E100" i="54" s="1"/>
  <c r="H135" i="52"/>
  <c r="H99" i="49"/>
  <c r="H200" i="52"/>
  <c r="G189" i="52"/>
  <c r="H189" i="52" s="1"/>
  <c r="H190" i="52"/>
  <c r="G216" i="52"/>
  <c r="E216" i="54" s="1"/>
  <c r="J48" i="46"/>
  <c r="J126" i="46"/>
  <c r="H285" i="46"/>
  <c r="J285" i="46" s="1"/>
  <c r="G178" i="44"/>
  <c r="H178" i="44" s="1"/>
  <c r="F182" i="46"/>
  <c r="H152" i="49"/>
  <c r="F233" i="46"/>
  <c r="F232" i="46" s="1"/>
  <c r="F231" i="46" s="1"/>
  <c r="H175" i="49"/>
  <c r="H135" i="49"/>
  <c r="H150" i="49"/>
  <c r="I27" i="47"/>
  <c r="J27" i="47"/>
  <c r="H201" i="49"/>
  <c r="H171" i="49"/>
  <c r="H211" i="49"/>
  <c r="H180" i="49"/>
  <c r="H218" i="49"/>
  <c r="I188" i="46"/>
  <c r="J188" i="46"/>
  <c r="E196" i="49"/>
  <c r="E195" i="49" s="1"/>
  <c r="J195" i="46"/>
  <c r="H191" i="49"/>
  <c r="H179" i="49"/>
  <c r="H173" i="49"/>
  <c r="H213" i="49"/>
  <c r="H216" i="49"/>
  <c r="H147" i="49"/>
  <c r="H188" i="49"/>
  <c r="H178" i="49"/>
  <c r="H172" i="49"/>
  <c r="H214" i="49"/>
  <c r="H200" i="49"/>
  <c r="H187" i="49"/>
  <c r="H151" i="49"/>
  <c r="H210" i="49"/>
  <c r="H174" i="49"/>
  <c r="H217" i="49"/>
  <c r="H154" i="49"/>
  <c r="H215" i="49"/>
  <c r="H148" i="49"/>
  <c r="H27" i="49"/>
  <c r="H21" i="49"/>
  <c r="H20" i="49"/>
  <c r="E145" i="49"/>
  <c r="G145" i="49" s="1"/>
  <c r="E145" i="52" s="1"/>
  <c r="J144" i="46"/>
  <c r="E48" i="49"/>
  <c r="G48" i="49" s="1"/>
  <c r="E48" i="52" s="1"/>
  <c r="J47" i="46"/>
  <c r="E18" i="49"/>
  <c r="G18" i="49" s="1"/>
  <c r="E18" i="52" s="1"/>
  <c r="G18" i="52" s="1"/>
  <c r="J18" i="46"/>
  <c r="H284" i="46"/>
  <c r="J284" i="46" s="1"/>
  <c r="E277" i="49"/>
  <c r="H98" i="49"/>
  <c r="I148" i="46"/>
  <c r="E149" i="49"/>
  <c r="G149" i="49" s="1"/>
  <c r="E149" i="52" s="1"/>
  <c r="G149" i="52" s="1"/>
  <c r="H149" i="52" s="1"/>
  <c r="H296" i="46"/>
  <c r="J296" i="46" s="1"/>
  <c r="E289" i="49"/>
  <c r="I126" i="46"/>
  <c r="E127" i="49"/>
  <c r="G127" i="49" s="1"/>
  <c r="E127" i="52" s="1"/>
  <c r="G127" i="52" s="1"/>
  <c r="E189" i="49"/>
  <c r="I208" i="46"/>
  <c r="E209" i="49"/>
  <c r="F143" i="46"/>
  <c r="G196" i="49"/>
  <c r="E196" i="52" s="1"/>
  <c r="G196" i="52" s="1"/>
  <c r="E196" i="54" s="1"/>
  <c r="H190" i="49"/>
  <c r="G189" i="49"/>
  <c r="I48" i="46"/>
  <c r="E49" i="49"/>
  <c r="G49" i="49" s="1"/>
  <c r="E49" i="52" s="1"/>
  <c r="G146" i="49"/>
  <c r="E146" i="52" s="1"/>
  <c r="G146" i="52" s="1"/>
  <c r="I18" i="46"/>
  <c r="H129" i="44"/>
  <c r="F132" i="46"/>
  <c r="H132" i="46" s="1"/>
  <c r="J132" i="46" s="1"/>
  <c r="H208" i="44"/>
  <c r="F211" i="46"/>
  <c r="F207" i="46" s="1"/>
  <c r="F206" i="46" s="1"/>
  <c r="F205" i="46" s="1"/>
  <c r="F46" i="46"/>
  <c r="F45" i="46" s="1"/>
  <c r="F44" i="46" s="1"/>
  <c r="F43" i="46" s="1"/>
  <c r="H301" i="46"/>
  <c r="J301" i="46" s="1"/>
  <c r="H79" i="44"/>
  <c r="F82" i="46"/>
  <c r="G78" i="44"/>
  <c r="G77" i="44" s="1"/>
  <c r="G189" i="44"/>
  <c r="F192" i="46" s="1"/>
  <c r="F191" i="46" s="1"/>
  <c r="E188" i="44"/>
  <c r="E229" i="44"/>
  <c r="E228" i="44" s="1"/>
  <c r="G33" i="45"/>
  <c r="H33" i="45" s="1"/>
  <c r="F32" i="45"/>
  <c r="I97" i="46"/>
  <c r="H96" i="46"/>
  <c r="H34" i="47"/>
  <c r="H192" i="44"/>
  <c r="G191" i="44"/>
  <c r="H191" i="44" s="1"/>
  <c r="E104" i="40"/>
  <c r="G194" i="40"/>
  <c r="H194" i="40" s="1"/>
  <c r="E195" i="42"/>
  <c r="H94" i="44"/>
  <c r="G93" i="44"/>
  <c r="H93" i="44" s="1"/>
  <c r="G33" i="43"/>
  <c r="H33" i="43" s="1"/>
  <c r="F32" i="43"/>
  <c r="G20" i="47"/>
  <c r="I195" i="46"/>
  <c r="H194" i="46"/>
  <c r="H192" i="46"/>
  <c r="E172" i="44"/>
  <c r="G122" i="44"/>
  <c r="G52" i="44"/>
  <c r="H211" i="46"/>
  <c r="E136" i="44"/>
  <c r="E135" i="44" s="1"/>
  <c r="E134" i="44" s="1"/>
  <c r="I285" i="46"/>
  <c r="E204" i="44"/>
  <c r="E203" i="44" s="1"/>
  <c r="E202" i="44" s="1"/>
  <c r="I297" i="46"/>
  <c r="E199" i="44"/>
  <c r="E182" i="44"/>
  <c r="E181" i="44" s="1"/>
  <c r="H176" i="46"/>
  <c r="F175" i="46"/>
  <c r="E166" i="44"/>
  <c r="E165" i="44" s="1"/>
  <c r="I144" i="46"/>
  <c r="H143" i="46"/>
  <c r="J143" i="46" s="1"/>
  <c r="I47" i="46"/>
  <c r="H46" i="46"/>
  <c r="J46" i="46" s="1"/>
  <c r="E130" i="44"/>
  <c r="G126" i="42"/>
  <c r="G125" i="42" s="1"/>
  <c r="H17" i="42"/>
  <c r="E17" i="44"/>
  <c r="G199" i="44"/>
  <c r="F202" i="46" s="1"/>
  <c r="E198" i="44"/>
  <c r="H173" i="44"/>
  <c r="G172" i="44"/>
  <c r="H172" i="44" s="1"/>
  <c r="H43" i="44"/>
  <c r="G42" i="44"/>
  <c r="G220" i="44"/>
  <c r="F223" i="46" s="1"/>
  <c r="E219" i="44"/>
  <c r="E218" i="44" s="1"/>
  <c r="E217" i="44" s="1"/>
  <c r="E216" i="44" s="1"/>
  <c r="H281" i="44"/>
  <c r="H205" i="44"/>
  <c r="G204" i="44"/>
  <c r="G203" i="42"/>
  <c r="H204" i="42"/>
  <c r="H159" i="40"/>
  <c r="G155" i="40"/>
  <c r="H155" i="40" s="1"/>
  <c r="E159" i="42"/>
  <c r="E155" i="42" s="1"/>
  <c r="G160" i="42"/>
  <c r="H136" i="42"/>
  <c r="G135" i="42"/>
  <c r="G114" i="40"/>
  <c r="H114" i="40" s="1"/>
  <c r="E115" i="42"/>
  <c r="H115" i="40"/>
  <c r="H130" i="42"/>
  <c r="G50" i="42"/>
  <c r="H51" i="42"/>
  <c r="G198" i="42"/>
  <c r="H198" i="42" s="1"/>
  <c r="H199" i="42"/>
  <c r="G181" i="42"/>
  <c r="H181" i="42" s="1"/>
  <c r="H182" i="42"/>
  <c r="H166" i="42"/>
  <c r="G165" i="42"/>
  <c r="F20" i="41"/>
  <c r="H77" i="40"/>
  <c r="G76" i="40"/>
  <c r="H76" i="40" s="1"/>
  <c r="H77" i="42"/>
  <c r="G76" i="42"/>
  <c r="H76" i="42" s="1"/>
  <c r="H218" i="42"/>
  <c r="G217" i="42"/>
  <c r="G217" i="40"/>
  <c r="H218" i="40"/>
  <c r="H231" i="42"/>
  <c r="H231" i="40"/>
  <c r="G230" i="40"/>
  <c r="G26" i="40"/>
  <c r="E16" i="40"/>
  <c r="E13" i="40"/>
  <c r="G41" i="40"/>
  <c r="G40" i="40" s="1"/>
  <c r="H42" i="40"/>
  <c r="H42" i="42"/>
  <c r="G41" i="42"/>
  <c r="G40" i="42" s="1"/>
  <c r="G30" i="40"/>
  <c r="G33" i="41"/>
  <c r="H33" i="41" s="1"/>
  <c r="F32" i="41"/>
  <c r="H225" i="38"/>
  <c r="H226" i="38"/>
  <c r="H84" i="36"/>
  <c r="E84" i="38"/>
  <c r="G84" i="38" s="1"/>
  <c r="H30" i="35"/>
  <c r="E30" i="37"/>
  <c r="G30" i="37" s="1"/>
  <c r="G83" i="36"/>
  <c r="H83" i="36" s="1"/>
  <c r="F28" i="35"/>
  <c r="F28" i="37"/>
  <c r="F22" i="39"/>
  <c r="F21" i="39" s="1"/>
  <c r="F20" i="39" s="1"/>
  <c r="F22" i="37"/>
  <c r="F21" i="37" s="1"/>
  <c r="F22" i="35"/>
  <c r="F21" i="35" s="1"/>
  <c r="F20" i="35" s="1"/>
  <c r="F25" i="32"/>
  <c r="G159" i="38"/>
  <c r="H160" i="38"/>
  <c r="F33" i="35"/>
  <c r="G34" i="35"/>
  <c r="H160" i="36"/>
  <c r="G159" i="36"/>
  <c r="G34" i="39"/>
  <c r="F33" i="39"/>
  <c r="F33" i="37"/>
  <c r="G34" i="37"/>
  <c r="H83" i="34"/>
  <c r="G80" i="34"/>
  <c r="G74" i="33"/>
  <c r="H74" i="33" s="1"/>
  <c r="H75" i="33"/>
  <c r="F227" i="33"/>
  <c r="F226" i="33" s="1"/>
  <c r="F225" i="33" s="1"/>
  <c r="D11" i="33"/>
  <c r="D459" i="33" s="1"/>
  <c r="F23" i="32"/>
  <c r="G432" i="33"/>
  <c r="H433" i="33"/>
  <c r="G219" i="33"/>
  <c r="H219" i="33" s="1"/>
  <c r="H220" i="33"/>
  <c r="H115" i="33"/>
  <c r="H442" i="33"/>
  <c r="H303" i="33"/>
  <c r="H146" i="52" l="1"/>
  <c r="E146" i="54"/>
  <c r="H18" i="52"/>
  <c r="E18" i="54"/>
  <c r="G18" i="54" s="1"/>
  <c r="G21" i="57"/>
  <c r="H21" i="57" s="1"/>
  <c r="H21" i="54"/>
  <c r="H215" i="54"/>
  <c r="E215" i="57"/>
  <c r="G215" i="57" s="1"/>
  <c r="H215" i="57" s="1"/>
  <c r="H127" i="52"/>
  <c r="E127" i="54"/>
  <c r="H217" i="54"/>
  <c r="E217" i="57"/>
  <c r="G217" i="57" s="1"/>
  <c r="H217" i="57" s="1"/>
  <c r="H210" i="54"/>
  <c r="E210" i="57"/>
  <c r="G210" i="57" s="1"/>
  <c r="H210" i="57" s="1"/>
  <c r="H213" i="54"/>
  <c r="E213" i="57"/>
  <c r="G213" i="57" s="1"/>
  <c r="H213" i="57" s="1"/>
  <c r="H218" i="54"/>
  <c r="E218" i="57"/>
  <c r="G218" i="57" s="1"/>
  <c r="H218" i="57" s="1"/>
  <c r="H201" i="54"/>
  <c r="H201" i="57"/>
  <c r="H191" i="54"/>
  <c r="H191" i="57"/>
  <c r="H187" i="54"/>
  <c r="H187" i="57"/>
  <c r="H188" i="54"/>
  <c r="H188" i="57"/>
  <c r="H179" i="54"/>
  <c r="H179" i="57"/>
  <c r="H178" i="54"/>
  <c r="H178" i="57"/>
  <c r="H180" i="54"/>
  <c r="H172" i="54"/>
  <c r="H172" i="57"/>
  <c r="H174" i="54"/>
  <c r="H174" i="57"/>
  <c r="H173" i="54"/>
  <c r="H173" i="57"/>
  <c r="H175" i="54"/>
  <c r="H175" i="57"/>
  <c r="H171" i="54"/>
  <c r="H171" i="57"/>
  <c r="H214" i="54"/>
  <c r="E214" i="57"/>
  <c r="H100" i="52"/>
  <c r="G99" i="52"/>
  <c r="H99" i="52" s="1"/>
  <c r="G100" i="54"/>
  <c r="E99" i="54"/>
  <c r="E98" i="54" s="1"/>
  <c r="E97" i="54" s="1"/>
  <c r="G216" i="54"/>
  <c r="E216" i="57" s="1"/>
  <c r="G216" i="57" s="1"/>
  <c r="H216" i="57" s="1"/>
  <c r="E195" i="54"/>
  <c r="G196" i="54"/>
  <c r="H190" i="54"/>
  <c r="G189" i="54"/>
  <c r="H189" i="54" s="1"/>
  <c r="G27" i="54"/>
  <c r="G27" i="57" s="1"/>
  <c r="H27" i="57" s="1"/>
  <c r="H196" i="52"/>
  <c r="G195" i="52"/>
  <c r="H195" i="52" s="1"/>
  <c r="G145" i="52"/>
  <c r="E145" i="54" s="1"/>
  <c r="G145" i="54" s="1"/>
  <c r="E144" i="52"/>
  <c r="G98" i="52"/>
  <c r="E47" i="52"/>
  <c r="E46" i="52" s="1"/>
  <c r="E45" i="52" s="1"/>
  <c r="E44" i="52" s="1"/>
  <c r="H189" i="49"/>
  <c r="E189" i="52"/>
  <c r="H216" i="52"/>
  <c r="I296" i="46"/>
  <c r="F181" i="46"/>
  <c r="H182" i="46"/>
  <c r="H149" i="49"/>
  <c r="E193" i="49"/>
  <c r="E192" i="49" s="1"/>
  <c r="J192" i="46"/>
  <c r="E212" i="49"/>
  <c r="G212" i="49" s="1"/>
  <c r="E212" i="52" s="1"/>
  <c r="G212" i="52" s="1"/>
  <c r="J211" i="46"/>
  <c r="H127" i="49"/>
  <c r="E177" i="49"/>
  <c r="G177" i="49" s="1"/>
  <c r="E177" i="52" s="1"/>
  <c r="G177" i="52" s="1"/>
  <c r="E177" i="54" s="1"/>
  <c r="J176" i="46"/>
  <c r="I194" i="46"/>
  <c r="J194" i="46"/>
  <c r="E144" i="49"/>
  <c r="I96" i="46"/>
  <c r="J96" i="46"/>
  <c r="H145" i="49"/>
  <c r="H49" i="49"/>
  <c r="H78" i="44"/>
  <c r="H18" i="49"/>
  <c r="I34" i="47"/>
  <c r="E34" i="48"/>
  <c r="J234" i="46"/>
  <c r="I132" i="46"/>
  <c r="E133" i="49"/>
  <c r="G289" i="49"/>
  <c r="E289" i="52" s="1"/>
  <c r="G289" i="52" s="1"/>
  <c r="E288" i="49"/>
  <c r="G193" i="49"/>
  <c r="H196" i="49"/>
  <c r="G195" i="49"/>
  <c r="E276" i="49"/>
  <c r="G277" i="49"/>
  <c r="E277" i="52" s="1"/>
  <c r="G277" i="52" s="1"/>
  <c r="E176" i="49"/>
  <c r="I301" i="46"/>
  <c r="E293" i="49"/>
  <c r="G293" i="49" s="1"/>
  <c r="E293" i="52" s="1"/>
  <c r="G293" i="52" s="1"/>
  <c r="H293" i="52" s="1"/>
  <c r="G209" i="49"/>
  <c r="E209" i="52" s="1"/>
  <c r="E47" i="49"/>
  <c r="E46" i="49" s="1"/>
  <c r="E45" i="49" s="1"/>
  <c r="E44" i="49" s="1"/>
  <c r="H48" i="49"/>
  <c r="G47" i="49"/>
  <c r="H146" i="49"/>
  <c r="G144" i="49"/>
  <c r="H122" i="44"/>
  <c r="F125" i="46"/>
  <c r="F222" i="46"/>
  <c r="F221" i="46" s="1"/>
  <c r="F220" i="46" s="1"/>
  <c r="F219" i="46" s="1"/>
  <c r="H223" i="46"/>
  <c r="G51" i="44"/>
  <c r="G50" i="44" s="1"/>
  <c r="F55" i="46"/>
  <c r="F81" i="46"/>
  <c r="F80" i="46" s="1"/>
  <c r="F79" i="46" s="1"/>
  <c r="H82" i="46"/>
  <c r="H33" i="47"/>
  <c r="G32" i="47"/>
  <c r="H34" i="39"/>
  <c r="F34" i="47"/>
  <c r="E33" i="45"/>
  <c r="E33" i="43"/>
  <c r="E34" i="41"/>
  <c r="G121" i="44"/>
  <c r="H121" i="44" s="1"/>
  <c r="G32" i="45"/>
  <c r="H32" i="45" s="1"/>
  <c r="F31" i="45"/>
  <c r="G195" i="42"/>
  <c r="E194" i="42"/>
  <c r="E164" i="42" s="1"/>
  <c r="E163" i="42" s="1"/>
  <c r="E162" i="42" s="1"/>
  <c r="H191" i="46"/>
  <c r="I192" i="46"/>
  <c r="F31" i="43"/>
  <c r="G32" i="43"/>
  <c r="H32" i="43" s="1"/>
  <c r="G164" i="40"/>
  <c r="H189" i="44"/>
  <c r="G188" i="44"/>
  <c r="H188" i="44" s="1"/>
  <c r="H52" i="44"/>
  <c r="G136" i="44"/>
  <c r="F139" i="46" s="1"/>
  <c r="F138" i="46" s="1"/>
  <c r="F137" i="46" s="1"/>
  <c r="G166" i="44"/>
  <c r="G182" i="44"/>
  <c r="I211" i="46"/>
  <c r="H207" i="46"/>
  <c r="J207" i="46" s="1"/>
  <c r="E160" i="44"/>
  <c r="E159" i="44" s="1"/>
  <c r="E155" i="44" s="1"/>
  <c r="I284" i="46"/>
  <c r="H202" i="46"/>
  <c r="F201" i="46"/>
  <c r="I176" i="46"/>
  <c r="H175" i="46"/>
  <c r="I143" i="46"/>
  <c r="I46" i="46"/>
  <c r="H45" i="46"/>
  <c r="J45" i="46" s="1"/>
  <c r="H127" i="42"/>
  <c r="G130" i="44"/>
  <c r="E126" i="44"/>
  <c r="E125" i="44" s="1"/>
  <c r="H199" i="44"/>
  <c r="G198" i="44"/>
  <c r="H198" i="44" s="1"/>
  <c r="H231" i="44"/>
  <c r="G230" i="44"/>
  <c r="G229" i="44" s="1"/>
  <c r="G76" i="44"/>
  <c r="H76" i="44" s="1"/>
  <c r="H77" i="44"/>
  <c r="G203" i="44"/>
  <c r="H204" i="44"/>
  <c r="G219" i="44"/>
  <c r="H220" i="44"/>
  <c r="G17" i="44"/>
  <c r="G41" i="44"/>
  <c r="G40" i="44" s="1"/>
  <c r="H42" i="44"/>
  <c r="G202" i="42"/>
  <c r="H202" i="42" s="1"/>
  <c r="H203" i="42"/>
  <c r="E26" i="42"/>
  <c r="G26" i="42" s="1"/>
  <c r="H84" i="38"/>
  <c r="E86" i="40"/>
  <c r="G86" i="40" s="1"/>
  <c r="H160" i="42"/>
  <c r="G159" i="42"/>
  <c r="G134" i="42"/>
  <c r="H134" i="42" s="1"/>
  <c r="H135" i="42"/>
  <c r="G115" i="42"/>
  <c r="E114" i="42"/>
  <c r="E104" i="42" s="1"/>
  <c r="H125" i="42"/>
  <c r="H126" i="42"/>
  <c r="G49" i="42"/>
  <c r="H49" i="42" s="1"/>
  <c r="H50" i="42"/>
  <c r="H165" i="42"/>
  <c r="G216" i="42"/>
  <c r="H217" i="42"/>
  <c r="G216" i="40"/>
  <c r="H216" i="40" s="1"/>
  <c r="H217" i="40"/>
  <c r="G229" i="40"/>
  <c r="H230" i="40"/>
  <c r="H230" i="42"/>
  <c r="H26" i="40"/>
  <c r="G13" i="40"/>
  <c r="H13" i="40" s="1"/>
  <c r="G16" i="40"/>
  <c r="H16" i="40" s="1"/>
  <c r="H41" i="42"/>
  <c r="H40" i="42"/>
  <c r="H40" i="40"/>
  <c r="H41" i="40"/>
  <c r="H30" i="40"/>
  <c r="G29" i="40"/>
  <c r="H29" i="40" s="1"/>
  <c r="G32" i="41"/>
  <c r="F31" i="41"/>
  <c r="F36" i="41" s="1"/>
  <c r="G83" i="38"/>
  <c r="H83" i="38" s="1"/>
  <c r="H34" i="37"/>
  <c r="E34" i="39"/>
  <c r="H30" i="37"/>
  <c r="E30" i="39"/>
  <c r="G30" i="39" s="1"/>
  <c r="G80" i="36"/>
  <c r="H80" i="36" s="1"/>
  <c r="F20" i="37"/>
  <c r="H34" i="35"/>
  <c r="E34" i="37"/>
  <c r="F32" i="37"/>
  <c r="H159" i="36"/>
  <c r="G102" i="36"/>
  <c r="H102" i="36" s="1"/>
  <c r="H159" i="38"/>
  <c r="G102" i="38"/>
  <c r="G33" i="39"/>
  <c r="H33" i="39" s="1"/>
  <c r="F32" i="39"/>
  <c r="G33" i="35"/>
  <c r="F32" i="35"/>
  <c r="G79" i="34"/>
  <c r="H80" i="34"/>
  <c r="H432" i="33"/>
  <c r="G429" i="33"/>
  <c r="H429" i="33" s="1"/>
  <c r="H297" i="33"/>
  <c r="H441" i="33"/>
  <c r="G440" i="33"/>
  <c r="G439" i="33" s="1"/>
  <c r="H145" i="54" l="1"/>
  <c r="G145" i="57"/>
  <c r="G146" i="54"/>
  <c r="E144" i="54"/>
  <c r="G18" i="57"/>
  <c r="H18" i="57" s="1"/>
  <c r="H18" i="54"/>
  <c r="H136" i="44"/>
  <c r="G127" i="54"/>
  <c r="H190" i="57"/>
  <c r="H189" i="57"/>
  <c r="H180" i="57"/>
  <c r="G214" i="57"/>
  <c r="E99" i="57"/>
  <c r="E98" i="57" s="1"/>
  <c r="E97" i="57" s="1"/>
  <c r="G100" i="57"/>
  <c r="H212" i="52"/>
  <c r="E212" i="54"/>
  <c r="G212" i="54" s="1"/>
  <c r="H100" i="54"/>
  <c r="G99" i="54"/>
  <c r="H216" i="54"/>
  <c r="H196" i="54"/>
  <c r="G195" i="54"/>
  <c r="H195" i="54" s="1"/>
  <c r="E176" i="54"/>
  <c r="G177" i="54"/>
  <c r="H27" i="54"/>
  <c r="H277" i="52"/>
  <c r="G276" i="52"/>
  <c r="G193" i="54"/>
  <c r="E193" i="52"/>
  <c r="G193" i="52" s="1"/>
  <c r="H145" i="52"/>
  <c r="G144" i="52"/>
  <c r="H144" i="52" s="1"/>
  <c r="G288" i="52"/>
  <c r="H288" i="52" s="1"/>
  <c r="H289" i="52"/>
  <c r="H195" i="49"/>
  <c r="E195" i="52"/>
  <c r="G209" i="52"/>
  <c r="E209" i="54" s="1"/>
  <c r="E208" i="52"/>
  <c r="G135" i="44"/>
  <c r="H135" i="44" s="1"/>
  <c r="G97" i="52"/>
  <c r="H97" i="52" s="1"/>
  <c r="H98" i="52"/>
  <c r="H177" i="52"/>
  <c r="G176" i="52"/>
  <c r="H176" i="52" s="1"/>
  <c r="H181" i="46"/>
  <c r="E183" i="49"/>
  <c r="I182" i="46"/>
  <c r="J182" i="46"/>
  <c r="E208" i="49"/>
  <c r="E207" i="49" s="1"/>
  <c r="E206" i="49" s="1"/>
  <c r="E234" i="49"/>
  <c r="E233" i="49" s="1"/>
  <c r="E232" i="49" s="1"/>
  <c r="I191" i="46"/>
  <c r="J191" i="46"/>
  <c r="I33" i="47"/>
  <c r="J33" i="47"/>
  <c r="H293" i="49"/>
  <c r="I175" i="46"/>
  <c r="J175" i="46"/>
  <c r="E224" i="49"/>
  <c r="G224" i="49" s="1"/>
  <c r="E224" i="52" s="1"/>
  <c r="J223" i="46"/>
  <c r="H212" i="49"/>
  <c r="E203" i="49"/>
  <c r="E202" i="49" s="1"/>
  <c r="J202" i="46"/>
  <c r="H139" i="46"/>
  <c r="H138" i="46" s="1"/>
  <c r="J138" i="46" s="1"/>
  <c r="E83" i="49"/>
  <c r="G83" i="49" s="1"/>
  <c r="E83" i="52" s="1"/>
  <c r="G83" i="52" s="1"/>
  <c r="E83" i="54" s="1"/>
  <c r="J82" i="46"/>
  <c r="H233" i="46"/>
  <c r="H232" i="46" s="1"/>
  <c r="G176" i="49"/>
  <c r="H177" i="49"/>
  <c r="H209" i="49"/>
  <c r="G208" i="49"/>
  <c r="H289" i="49"/>
  <c r="G288" i="49"/>
  <c r="G276" i="49"/>
  <c r="E276" i="52" s="1"/>
  <c r="H277" i="49"/>
  <c r="H193" i="49"/>
  <c r="G192" i="49"/>
  <c r="G133" i="49"/>
  <c r="E133" i="52" s="1"/>
  <c r="G133" i="52" s="1"/>
  <c r="H47" i="49"/>
  <c r="G46" i="49"/>
  <c r="H144" i="49"/>
  <c r="G126" i="44"/>
  <c r="G125" i="44" s="1"/>
  <c r="F133" i="46"/>
  <c r="H125" i="46"/>
  <c r="H124" i="46" s="1"/>
  <c r="F124" i="46"/>
  <c r="F17" i="46"/>
  <c r="H17" i="46" s="1"/>
  <c r="G181" i="44"/>
  <c r="H181" i="44" s="1"/>
  <c r="F185" i="46"/>
  <c r="H166" i="44"/>
  <c r="F169" i="46"/>
  <c r="H51" i="44"/>
  <c r="I223" i="46"/>
  <c r="H222" i="46"/>
  <c r="J222" i="46" s="1"/>
  <c r="H81" i="46"/>
  <c r="J81" i="46" s="1"/>
  <c r="I82" i="46"/>
  <c r="H55" i="46"/>
  <c r="F54" i="46"/>
  <c r="F53" i="46" s="1"/>
  <c r="F52" i="46" s="1"/>
  <c r="G31" i="43"/>
  <c r="F30" i="43"/>
  <c r="E195" i="44"/>
  <c r="G194" i="42"/>
  <c r="G31" i="45"/>
  <c r="F30" i="45"/>
  <c r="H32" i="47"/>
  <c r="J32" i="47" s="1"/>
  <c r="G31" i="47"/>
  <c r="H164" i="40"/>
  <c r="G163" i="40"/>
  <c r="H182" i="44"/>
  <c r="G165" i="44"/>
  <c r="H165" i="44" s="1"/>
  <c r="G160" i="44"/>
  <c r="H160" i="44" s="1"/>
  <c r="I234" i="46"/>
  <c r="H206" i="46"/>
  <c r="J206" i="46" s="1"/>
  <c r="I207" i="46"/>
  <c r="E115" i="44"/>
  <c r="G115" i="44" s="1"/>
  <c r="F118" i="46" s="1"/>
  <c r="I202" i="46"/>
  <c r="H201" i="46"/>
  <c r="H44" i="46"/>
  <c r="H43" i="46" s="1"/>
  <c r="I45" i="46"/>
  <c r="H130" i="44"/>
  <c r="E16" i="42"/>
  <c r="E26" i="44"/>
  <c r="G26" i="44" s="1"/>
  <c r="F26" i="46" s="1"/>
  <c r="H26" i="46" s="1"/>
  <c r="G16" i="42"/>
  <c r="H16" i="42" s="1"/>
  <c r="H219" i="44"/>
  <c r="G218" i="44"/>
  <c r="G134" i="44"/>
  <c r="H134" i="44" s="1"/>
  <c r="H50" i="44"/>
  <c r="G49" i="44"/>
  <c r="H49" i="44" s="1"/>
  <c r="H230" i="44"/>
  <c r="H40" i="44"/>
  <c r="H41" i="44"/>
  <c r="H17" i="44"/>
  <c r="H203" i="44"/>
  <c r="G202" i="44"/>
  <c r="H202" i="44" s="1"/>
  <c r="E13" i="42"/>
  <c r="G13" i="42"/>
  <c r="H13" i="42" s="1"/>
  <c r="H26" i="42"/>
  <c r="E86" i="42"/>
  <c r="G86" i="42" s="1"/>
  <c r="H86" i="40"/>
  <c r="G85" i="40"/>
  <c r="H159" i="42"/>
  <c r="G155" i="42"/>
  <c r="H155" i="42" s="1"/>
  <c r="H115" i="42"/>
  <c r="G114" i="42"/>
  <c r="H114" i="42" s="1"/>
  <c r="H30" i="39"/>
  <c r="E30" i="41"/>
  <c r="G30" i="41" s="1"/>
  <c r="H216" i="42"/>
  <c r="G228" i="42"/>
  <c r="H229" i="42"/>
  <c r="G228" i="40"/>
  <c r="H228" i="40" s="1"/>
  <c r="H229" i="40"/>
  <c r="H102" i="38"/>
  <c r="G80" i="38"/>
  <c r="H80" i="38" s="1"/>
  <c r="H32" i="41"/>
  <c r="G31" i="41"/>
  <c r="H31" i="41" s="1"/>
  <c r="F11" i="41"/>
  <c r="F42" i="41"/>
  <c r="H42" i="41" s="1"/>
  <c r="G79" i="36"/>
  <c r="H79" i="36" s="1"/>
  <c r="H33" i="35"/>
  <c r="E33" i="37"/>
  <c r="G33" i="37" s="1"/>
  <c r="H33" i="37" s="1"/>
  <c r="G32" i="39"/>
  <c r="F31" i="39"/>
  <c r="G32" i="35"/>
  <c r="E32" i="37" s="1"/>
  <c r="F31" i="35"/>
  <c r="F36" i="35" s="1"/>
  <c r="G32" i="37"/>
  <c r="F31" i="37"/>
  <c r="H79" i="34"/>
  <c r="G14" i="34"/>
  <c r="H440" i="33"/>
  <c r="H439" i="33"/>
  <c r="H126" i="44" l="1"/>
  <c r="H145" i="57"/>
  <c r="G144" i="54"/>
  <c r="H144" i="54" s="1"/>
  <c r="H146" i="54"/>
  <c r="H127" i="54"/>
  <c r="H212" i="54"/>
  <c r="E212" i="57"/>
  <c r="H193" i="57"/>
  <c r="H196" i="57"/>
  <c r="H195" i="57"/>
  <c r="H176" i="57"/>
  <c r="H177" i="57"/>
  <c r="H214" i="57"/>
  <c r="H100" i="57"/>
  <c r="G99" i="57"/>
  <c r="G98" i="54"/>
  <c r="H99" i="54"/>
  <c r="G209" i="54"/>
  <c r="E209" i="57" s="1"/>
  <c r="G209" i="57" s="1"/>
  <c r="H209" i="57" s="1"/>
  <c r="E208" i="54"/>
  <c r="E207" i="54" s="1"/>
  <c r="E206" i="54" s="1"/>
  <c r="G83" i="54"/>
  <c r="E82" i="54"/>
  <c r="E81" i="54" s="1"/>
  <c r="E80" i="54" s="1"/>
  <c r="H177" i="54"/>
  <c r="G176" i="54"/>
  <c r="H176" i="54" s="1"/>
  <c r="H193" i="54"/>
  <c r="H193" i="52"/>
  <c r="G192" i="52"/>
  <c r="H192" i="52" s="1"/>
  <c r="H192" i="49"/>
  <c r="E192" i="54"/>
  <c r="E192" i="52"/>
  <c r="E223" i="49"/>
  <c r="E222" i="49" s="1"/>
  <c r="E221" i="49" s="1"/>
  <c r="E220" i="49" s="1"/>
  <c r="H276" i="52"/>
  <c r="H288" i="49"/>
  <c r="E288" i="52"/>
  <c r="E234" i="52" s="1"/>
  <c r="E233" i="52" s="1"/>
  <c r="E232" i="52" s="1"/>
  <c r="H209" i="52"/>
  <c r="G208" i="52"/>
  <c r="H133" i="52"/>
  <c r="E82" i="52"/>
  <c r="E81" i="52" s="1"/>
  <c r="E80" i="52" s="1"/>
  <c r="G224" i="52"/>
  <c r="E224" i="54" s="1"/>
  <c r="E223" i="52"/>
  <c r="E222" i="52" s="1"/>
  <c r="E221" i="52" s="1"/>
  <c r="E220" i="52" s="1"/>
  <c r="H176" i="49"/>
  <c r="E176" i="52"/>
  <c r="H83" i="52"/>
  <c r="G82" i="52"/>
  <c r="J17" i="46"/>
  <c r="G203" i="49"/>
  <c r="E203" i="52" s="1"/>
  <c r="G203" i="52" s="1"/>
  <c r="E203" i="54" s="1"/>
  <c r="H127" i="44"/>
  <c r="G183" i="49"/>
  <c r="E183" i="52" s="1"/>
  <c r="G183" i="52" s="1"/>
  <c r="E183" i="54" s="1"/>
  <c r="E182" i="49"/>
  <c r="I181" i="46"/>
  <c r="J181" i="46"/>
  <c r="I139" i="46"/>
  <c r="E126" i="49"/>
  <c r="G126" i="49" s="1"/>
  <c r="E126" i="52" s="1"/>
  <c r="G126" i="52" s="1"/>
  <c r="E126" i="54" s="1"/>
  <c r="J125" i="46"/>
  <c r="I201" i="46"/>
  <c r="J201" i="46"/>
  <c r="E140" i="49"/>
  <c r="J139" i="46"/>
  <c r="E82" i="49"/>
  <c r="E81" i="49" s="1"/>
  <c r="E80" i="49" s="1"/>
  <c r="E56" i="49"/>
  <c r="G56" i="49" s="1"/>
  <c r="E56" i="52" s="1"/>
  <c r="J55" i="46"/>
  <c r="J43" i="46"/>
  <c r="J44" i="46"/>
  <c r="J233" i="46"/>
  <c r="H231" i="46"/>
  <c r="J231" i="46" s="1"/>
  <c r="J232" i="46"/>
  <c r="H203" i="49"/>
  <c r="H133" i="49"/>
  <c r="H276" i="49"/>
  <c r="H83" i="49"/>
  <c r="G82" i="49"/>
  <c r="H208" i="49"/>
  <c r="G207" i="49"/>
  <c r="E207" i="52" s="1"/>
  <c r="H224" i="49"/>
  <c r="G223" i="49"/>
  <c r="G45" i="49"/>
  <c r="H46" i="49"/>
  <c r="E17" i="49"/>
  <c r="G159" i="44"/>
  <c r="H159" i="44" s="1"/>
  <c r="F163" i="46"/>
  <c r="H133" i="46"/>
  <c r="F129" i="46"/>
  <c r="F128" i="46" s="1"/>
  <c r="I125" i="46"/>
  <c r="I17" i="46"/>
  <c r="H185" i="46"/>
  <c r="H169" i="46"/>
  <c r="F168" i="46"/>
  <c r="I222" i="46"/>
  <c r="H221" i="46"/>
  <c r="J221" i="46" s="1"/>
  <c r="H54" i="46"/>
  <c r="J54" i="46" s="1"/>
  <c r="I55" i="46"/>
  <c r="H80" i="46"/>
  <c r="J80" i="46" s="1"/>
  <c r="I81" i="46"/>
  <c r="H26" i="44"/>
  <c r="I32" i="47"/>
  <c r="H31" i="47"/>
  <c r="H194" i="42"/>
  <c r="G164" i="42"/>
  <c r="F36" i="39"/>
  <c r="F42" i="39" s="1"/>
  <c r="H42" i="39" s="1"/>
  <c r="F11" i="39"/>
  <c r="H163" i="40"/>
  <c r="G162" i="40"/>
  <c r="G195" i="44"/>
  <c r="E194" i="44"/>
  <c r="E164" i="44" s="1"/>
  <c r="E163" i="44" s="1"/>
  <c r="E162" i="44" s="1"/>
  <c r="H30" i="41"/>
  <c r="E29" i="43"/>
  <c r="H31" i="45"/>
  <c r="G30" i="45"/>
  <c r="H30" i="45" s="1"/>
  <c r="G30" i="43"/>
  <c r="H30" i="43" s="1"/>
  <c r="H31" i="43"/>
  <c r="E114" i="44"/>
  <c r="H205" i="46"/>
  <c r="I206" i="46"/>
  <c r="F117" i="46"/>
  <c r="H118" i="46"/>
  <c r="I233" i="46"/>
  <c r="I138" i="46"/>
  <c r="H137" i="46"/>
  <c r="E86" i="44"/>
  <c r="G86" i="44" s="1"/>
  <c r="F13" i="46"/>
  <c r="F16" i="46"/>
  <c r="I44" i="46"/>
  <c r="E16" i="44"/>
  <c r="G13" i="44"/>
  <c r="H13" i="44" s="1"/>
  <c r="G16" i="44"/>
  <c r="H16" i="44" s="1"/>
  <c r="E13" i="44"/>
  <c r="H228" i="42"/>
  <c r="H218" i="44"/>
  <c r="G217" i="44"/>
  <c r="G228" i="44"/>
  <c r="H228" i="44" s="1"/>
  <c r="H229" i="44"/>
  <c r="H125" i="44"/>
  <c r="H115" i="44"/>
  <c r="G114" i="44"/>
  <c r="H114" i="44" s="1"/>
  <c r="H85" i="40"/>
  <c r="G82" i="40"/>
  <c r="H86" i="42"/>
  <c r="G85" i="42"/>
  <c r="G29" i="43"/>
  <c r="G79" i="38"/>
  <c r="H79" i="38" s="1"/>
  <c r="F42" i="35"/>
  <c r="H42" i="35" s="1"/>
  <c r="F11" i="35"/>
  <c r="H32" i="37"/>
  <c r="G31" i="37"/>
  <c r="H31" i="37" s="1"/>
  <c r="H32" i="35"/>
  <c r="G31" i="35"/>
  <c r="H32" i="39"/>
  <c r="G31" i="39"/>
  <c r="H31" i="39" s="1"/>
  <c r="G12" i="34"/>
  <c r="H14" i="34"/>
  <c r="F41" i="32"/>
  <c r="F40" i="32"/>
  <c r="F39" i="32"/>
  <c r="H39" i="32" s="1"/>
  <c r="H38" i="32"/>
  <c r="F38" i="32"/>
  <c r="F37" i="32"/>
  <c r="G35" i="32"/>
  <c r="H35" i="32" s="1"/>
  <c r="G34" i="32"/>
  <c r="H34" i="32" s="1"/>
  <c r="D33" i="32"/>
  <c r="D32" i="32" s="1"/>
  <c r="D31" i="32" s="1"/>
  <c r="E144" i="57" l="1"/>
  <c r="G146" i="57"/>
  <c r="G155" i="44"/>
  <c r="H155" i="44" s="1"/>
  <c r="G126" i="54"/>
  <c r="E125" i="54"/>
  <c r="G127" i="57"/>
  <c r="G212" i="57"/>
  <c r="E208" i="57"/>
  <c r="E207" i="57" s="1"/>
  <c r="E206" i="57" s="1"/>
  <c r="E82" i="57"/>
  <c r="E81" i="57" s="1"/>
  <c r="E80" i="57" s="1"/>
  <c r="G83" i="57"/>
  <c r="G98" i="57"/>
  <c r="H99" i="57"/>
  <c r="G224" i="54"/>
  <c r="E224" i="57" s="1"/>
  <c r="E223" i="54"/>
  <c r="E222" i="54" s="1"/>
  <c r="E221" i="54" s="1"/>
  <c r="E220" i="54" s="1"/>
  <c r="H98" i="54"/>
  <c r="G97" i="54"/>
  <c r="H97" i="54" s="1"/>
  <c r="H209" i="54"/>
  <c r="G208" i="54"/>
  <c r="H83" i="54"/>
  <c r="G82" i="54"/>
  <c r="G203" i="54"/>
  <c r="E202" i="54"/>
  <c r="E182" i="54"/>
  <c r="G183" i="54"/>
  <c r="H192" i="54"/>
  <c r="H183" i="52"/>
  <c r="G182" i="52"/>
  <c r="H182" i="52" s="1"/>
  <c r="H235" i="52"/>
  <c r="G234" i="52"/>
  <c r="E55" i="52"/>
  <c r="E54" i="52" s="1"/>
  <c r="E53" i="52" s="1"/>
  <c r="G56" i="52"/>
  <c r="E56" i="54" s="1"/>
  <c r="G207" i="52"/>
  <c r="H208" i="52"/>
  <c r="H126" i="52"/>
  <c r="G125" i="52"/>
  <c r="H125" i="52" s="1"/>
  <c r="G223" i="52"/>
  <c r="H224" i="52"/>
  <c r="H203" i="52"/>
  <c r="G202" i="52"/>
  <c r="H202" i="52" s="1"/>
  <c r="G202" i="49"/>
  <c r="H82" i="52"/>
  <c r="G81" i="52"/>
  <c r="E125" i="49"/>
  <c r="G85" i="44"/>
  <c r="F89" i="46"/>
  <c r="H89" i="46" s="1"/>
  <c r="E90" i="49" s="1"/>
  <c r="G90" i="49" s="1"/>
  <c r="G182" i="49"/>
  <c r="H183" i="49"/>
  <c r="E55" i="49"/>
  <c r="E54" i="49" s="1"/>
  <c r="E53" i="49" s="1"/>
  <c r="J89" i="46"/>
  <c r="I31" i="47"/>
  <c r="J31" i="47"/>
  <c r="E119" i="49"/>
  <c r="G119" i="49" s="1"/>
  <c r="E119" i="52" s="1"/>
  <c r="G119" i="52" s="1"/>
  <c r="E119" i="54" s="1"/>
  <c r="J118" i="46"/>
  <c r="E134" i="49"/>
  <c r="G134" i="49" s="1"/>
  <c r="E134" i="52" s="1"/>
  <c r="G134" i="52" s="1"/>
  <c r="J133" i="46"/>
  <c r="E139" i="49"/>
  <c r="E138" i="49" s="1"/>
  <c r="G140" i="49"/>
  <c r="E140" i="52" s="1"/>
  <c r="I137" i="46"/>
  <c r="J137" i="46"/>
  <c r="G170" i="49"/>
  <c r="E170" i="52" s="1"/>
  <c r="J169" i="46"/>
  <c r="E186" i="49"/>
  <c r="G186" i="49" s="1"/>
  <c r="E186" i="52" s="1"/>
  <c r="G186" i="52" s="1"/>
  <c r="E186" i="54" s="1"/>
  <c r="J185" i="46"/>
  <c r="I124" i="46"/>
  <c r="J124" i="46"/>
  <c r="I43" i="46"/>
  <c r="I205" i="46"/>
  <c r="J205" i="46"/>
  <c r="E26" i="49"/>
  <c r="G26" i="49" s="1"/>
  <c r="E26" i="52" s="1"/>
  <c r="G26" i="52" s="1"/>
  <c r="H26" i="52" s="1"/>
  <c r="J26" i="46"/>
  <c r="H207" i="49"/>
  <c r="G206" i="49"/>
  <c r="G81" i="49"/>
  <c r="H82" i="49"/>
  <c r="G222" i="49"/>
  <c r="H223" i="49"/>
  <c r="H235" i="49"/>
  <c r="G234" i="49"/>
  <c r="G125" i="49"/>
  <c r="E125" i="52" s="1"/>
  <c r="H126" i="49"/>
  <c r="G55" i="49"/>
  <c r="H56" i="49"/>
  <c r="H45" i="49"/>
  <c r="G44" i="49"/>
  <c r="H44" i="49" s="1"/>
  <c r="G17" i="49"/>
  <c r="E17" i="52" s="1"/>
  <c r="G17" i="52" s="1"/>
  <c r="E17" i="54" s="1"/>
  <c r="F162" i="46"/>
  <c r="F158" i="46" s="1"/>
  <c r="H163" i="46"/>
  <c r="J130" i="46"/>
  <c r="I133" i="46"/>
  <c r="G194" i="44"/>
  <c r="H194" i="44" s="1"/>
  <c r="F198" i="46"/>
  <c r="H184" i="46"/>
  <c r="I185" i="46"/>
  <c r="H168" i="46"/>
  <c r="J168" i="46" s="1"/>
  <c r="I169" i="46"/>
  <c r="H220" i="46"/>
  <c r="J220" i="46" s="1"/>
  <c r="I221" i="46"/>
  <c r="H79" i="46"/>
  <c r="I80" i="46"/>
  <c r="H53" i="46"/>
  <c r="J53" i="46" s="1"/>
  <c r="I54" i="46"/>
  <c r="E104" i="44"/>
  <c r="H162" i="40"/>
  <c r="G104" i="40"/>
  <c r="H104" i="40" s="1"/>
  <c r="G163" i="42"/>
  <c r="H164" i="42"/>
  <c r="G164" i="44"/>
  <c r="H86" i="44"/>
  <c r="I89" i="46"/>
  <c r="H88" i="46"/>
  <c r="J88" i="46" s="1"/>
  <c r="I118" i="46"/>
  <c r="H117" i="46"/>
  <c r="I232" i="46"/>
  <c r="I231" i="46"/>
  <c r="I26" i="46"/>
  <c r="H13" i="46"/>
  <c r="H16" i="46"/>
  <c r="H29" i="43"/>
  <c r="E29" i="45"/>
  <c r="G29" i="45" s="1"/>
  <c r="H217" i="44"/>
  <c r="G216" i="44"/>
  <c r="H216" i="44" s="1"/>
  <c r="H85" i="44"/>
  <c r="G82" i="44"/>
  <c r="H85" i="42"/>
  <c r="G82" i="42"/>
  <c r="H82" i="40"/>
  <c r="G81" i="40"/>
  <c r="H81" i="40" s="1"/>
  <c r="H31" i="35"/>
  <c r="E31" i="37"/>
  <c r="H12" i="34"/>
  <c r="G11" i="34"/>
  <c r="F33" i="32"/>
  <c r="F32" i="32" s="1"/>
  <c r="F31" i="32" s="1"/>
  <c r="H37" i="32"/>
  <c r="H146" i="57" l="1"/>
  <c r="G144" i="57"/>
  <c r="H144" i="57" s="1"/>
  <c r="E118" i="54"/>
  <c r="G119" i="54"/>
  <c r="H126" i="54"/>
  <c r="G125" i="54"/>
  <c r="H127" i="57"/>
  <c r="H212" i="57"/>
  <c r="G208" i="57"/>
  <c r="G224" i="57"/>
  <c r="E223" i="57"/>
  <c r="E222" i="57" s="1"/>
  <c r="E221" i="57" s="1"/>
  <c r="E220" i="57" s="1"/>
  <c r="H83" i="57"/>
  <c r="G82" i="57"/>
  <c r="G97" i="57"/>
  <c r="H98" i="57"/>
  <c r="G17" i="54"/>
  <c r="E13" i="54"/>
  <c r="E16" i="54"/>
  <c r="G223" i="54"/>
  <c r="H224" i="54"/>
  <c r="H208" i="54"/>
  <c r="G207" i="54"/>
  <c r="G81" i="54"/>
  <c r="H82" i="54"/>
  <c r="E55" i="54"/>
  <c r="E54" i="54" s="1"/>
  <c r="E53" i="54" s="1"/>
  <c r="G56" i="54"/>
  <c r="H203" i="54"/>
  <c r="G202" i="54"/>
  <c r="H202" i="54" s="1"/>
  <c r="E185" i="54"/>
  <c r="G186" i="54"/>
  <c r="G182" i="54"/>
  <c r="H182" i="54" s="1"/>
  <c r="H183" i="54"/>
  <c r="E16" i="52"/>
  <c r="H234" i="52"/>
  <c r="G233" i="52"/>
  <c r="E13" i="52"/>
  <c r="H56" i="52"/>
  <c r="G55" i="52"/>
  <c r="G206" i="52"/>
  <c r="H207" i="52"/>
  <c r="G118" i="52"/>
  <c r="H118" i="52" s="1"/>
  <c r="H119" i="52"/>
  <c r="H134" i="52"/>
  <c r="G140" i="52"/>
  <c r="E140" i="54" s="1"/>
  <c r="E139" i="52"/>
  <c r="E138" i="52" s="1"/>
  <c r="H223" i="52"/>
  <c r="G222" i="52"/>
  <c r="H182" i="49"/>
  <c r="E182" i="52"/>
  <c r="H202" i="49"/>
  <c r="E202" i="52"/>
  <c r="H186" i="52"/>
  <c r="G185" i="52"/>
  <c r="H185" i="52" s="1"/>
  <c r="G170" i="52"/>
  <c r="E170" i="54" s="1"/>
  <c r="E169" i="52"/>
  <c r="H206" i="49"/>
  <c r="E206" i="52"/>
  <c r="G80" i="52"/>
  <c r="H80" i="52" s="1"/>
  <c r="H81" i="52"/>
  <c r="E130" i="49"/>
  <c r="E129" i="49" s="1"/>
  <c r="H17" i="52"/>
  <c r="G13" i="52"/>
  <c r="H13" i="52" s="1"/>
  <c r="G16" i="52"/>
  <c r="G89" i="49"/>
  <c r="E169" i="49"/>
  <c r="H29" i="45"/>
  <c r="F30" i="47"/>
  <c r="H30" i="47" s="1"/>
  <c r="E185" i="49"/>
  <c r="H90" i="49"/>
  <c r="E118" i="49"/>
  <c r="E164" i="49"/>
  <c r="E163" i="49" s="1"/>
  <c r="E159" i="49" s="1"/>
  <c r="J163" i="46"/>
  <c r="G139" i="49"/>
  <c r="H140" i="49"/>
  <c r="I117" i="46"/>
  <c r="J117" i="46"/>
  <c r="I184" i="46"/>
  <c r="J184" i="46"/>
  <c r="E13" i="49"/>
  <c r="H26" i="49"/>
  <c r="I79" i="46"/>
  <c r="J79" i="46"/>
  <c r="E16" i="49"/>
  <c r="I16" i="46"/>
  <c r="J16" i="46"/>
  <c r="I13" i="46"/>
  <c r="J13" i="46"/>
  <c r="H89" i="49"/>
  <c r="G86" i="49"/>
  <c r="H125" i="49"/>
  <c r="G80" i="49"/>
  <c r="H80" i="49" s="1"/>
  <c r="H81" i="49"/>
  <c r="H134" i="49"/>
  <c r="H186" i="49"/>
  <c r="G185" i="49"/>
  <c r="G54" i="49"/>
  <c r="H55" i="49"/>
  <c r="G233" i="49"/>
  <c r="H234" i="49"/>
  <c r="G221" i="49"/>
  <c r="H222" i="49"/>
  <c r="H170" i="49"/>
  <c r="G169" i="49"/>
  <c r="G118" i="49"/>
  <c r="H119" i="49"/>
  <c r="H17" i="49"/>
  <c r="G16" i="49"/>
  <c r="H16" i="49" s="1"/>
  <c r="G13" i="49"/>
  <c r="H13" i="49" s="1"/>
  <c r="H162" i="46"/>
  <c r="J162" i="46" s="1"/>
  <c r="I163" i="46"/>
  <c r="I130" i="46"/>
  <c r="H129" i="46"/>
  <c r="H198" i="46"/>
  <c r="F197" i="46"/>
  <c r="F167" i="46" s="1"/>
  <c r="F166" i="46" s="1"/>
  <c r="F165" i="46" s="1"/>
  <c r="F107" i="46" s="1"/>
  <c r="I168" i="46"/>
  <c r="I220" i="46"/>
  <c r="H219" i="46"/>
  <c r="H52" i="46"/>
  <c r="I53" i="46"/>
  <c r="G163" i="44"/>
  <c r="H164" i="44"/>
  <c r="H163" i="42"/>
  <c r="G162" i="42"/>
  <c r="I88" i="46"/>
  <c r="H85" i="46"/>
  <c r="J85" i="46" s="1"/>
  <c r="G81" i="44"/>
  <c r="H81" i="44" s="1"/>
  <c r="H82" i="44"/>
  <c r="H82" i="42"/>
  <c r="G81" i="42"/>
  <c r="H81" i="42" s="1"/>
  <c r="G459" i="34"/>
  <c r="H459" i="34" s="1"/>
  <c r="H11" i="34"/>
  <c r="F28" i="32"/>
  <c r="J129" i="46" l="1"/>
  <c r="H128" i="46"/>
  <c r="E108" i="49"/>
  <c r="H206" i="52"/>
  <c r="H125" i="54"/>
  <c r="G118" i="54"/>
  <c r="H118" i="54" s="1"/>
  <c r="H119" i="54"/>
  <c r="G126" i="57"/>
  <c r="E125" i="57"/>
  <c r="E139" i="54"/>
  <c r="E138" i="54" s="1"/>
  <c r="G140" i="54"/>
  <c r="G207" i="57"/>
  <c r="H208" i="57"/>
  <c r="H224" i="57"/>
  <c r="G223" i="57"/>
  <c r="H203" i="57"/>
  <c r="H202" i="57"/>
  <c r="H183" i="57"/>
  <c r="H182" i="57"/>
  <c r="G56" i="57"/>
  <c r="E55" i="57"/>
  <c r="E54" i="57" s="1"/>
  <c r="E53" i="57" s="1"/>
  <c r="H82" i="57"/>
  <c r="G81" i="57"/>
  <c r="H97" i="57"/>
  <c r="G17" i="57"/>
  <c r="E16" i="57"/>
  <c r="E13" i="57"/>
  <c r="H17" i="54"/>
  <c r="G13" i="54"/>
  <c r="H13" i="54" s="1"/>
  <c r="G16" i="54"/>
  <c r="H16" i="54" s="1"/>
  <c r="G222" i="54"/>
  <c r="H223" i="54"/>
  <c r="G206" i="54"/>
  <c r="H206" i="54" s="1"/>
  <c r="H207" i="54"/>
  <c r="H81" i="54"/>
  <c r="G80" i="54"/>
  <c r="H80" i="54" s="1"/>
  <c r="H56" i="54"/>
  <c r="G55" i="54"/>
  <c r="H186" i="54"/>
  <c r="G185" i="54"/>
  <c r="H185" i="54" s="1"/>
  <c r="G170" i="54"/>
  <c r="E169" i="54"/>
  <c r="H233" i="52"/>
  <c r="G232" i="52"/>
  <c r="H232" i="52" s="1"/>
  <c r="H16" i="52"/>
  <c r="G54" i="52"/>
  <c r="H55" i="52"/>
  <c r="H118" i="49"/>
  <c r="E118" i="52"/>
  <c r="G130" i="52"/>
  <c r="H131" i="52"/>
  <c r="H140" i="52"/>
  <c r="G139" i="52"/>
  <c r="G221" i="52"/>
  <c r="H222" i="52"/>
  <c r="H185" i="49"/>
  <c r="E185" i="52"/>
  <c r="H170" i="52"/>
  <c r="G169" i="52"/>
  <c r="G164" i="49"/>
  <c r="E164" i="52" s="1"/>
  <c r="J30" i="47"/>
  <c r="I30" i="47"/>
  <c r="E30" i="48"/>
  <c r="G30" i="48" s="1"/>
  <c r="E30" i="53" s="1"/>
  <c r="G30" i="53" s="1"/>
  <c r="H30" i="53" s="1"/>
  <c r="I219" i="46"/>
  <c r="J219" i="46"/>
  <c r="G138" i="49"/>
  <c r="H138" i="49" s="1"/>
  <c r="H139" i="49"/>
  <c r="I52" i="46"/>
  <c r="J52" i="46"/>
  <c r="H197" i="46"/>
  <c r="J197" i="46" s="1"/>
  <c r="E199" i="49"/>
  <c r="G220" i="49"/>
  <c r="H221" i="49"/>
  <c r="G85" i="49"/>
  <c r="H85" i="49" s="1"/>
  <c r="H86" i="49"/>
  <c r="G232" i="49"/>
  <c r="H232" i="49" s="1"/>
  <c r="H233" i="49"/>
  <c r="H169" i="49"/>
  <c r="H54" i="49"/>
  <c r="G53" i="49"/>
  <c r="H53" i="49" s="1"/>
  <c r="H131" i="49"/>
  <c r="G130" i="49"/>
  <c r="E130" i="52" s="1"/>
  <c r="I162" i="46"/>
  <c r="H158" i="46"/>
  <c r="I129" i="46"/>
  <c r="H162" i="42"/>
  <c r="G104" i="42"/>
  <c r="H104" i="42" s="1"/>
  <c r="H163" i="44"/>
  <c r="G162" i="44"/>
  <c r="I85" i="46"/>
  <c r="H84" i="46"/>
  <c r="G156" i="33"/>
  <c r="H157" i="33"/>
  <c r="F22" i="32"/>
  <c r="F21" i="32" s="1"/>
  <c r="F20" i="32" s="1"/>
  <c r="G163" i="49" l="1"/>
  <c r="H163" i="49" s="1"/>
  <c r="H164" i="49"/>
  <c r="H220" i="49"/>
  <c r="E118" i="57"/>
  <c r="G119" i="57"/>
  <c r="H126" i="57"/>
  <c r="G125" i="57"/>
  <c r="H125" i="57" s="1"/>
  <c r="G139" i="54"/>
  <c r="H140" i="54"/>
  <c r="H207" i="57"/>
  <c r="G206" i="57"/>
  <c r="H206" i="57" s="1"/>
  <c r="H223" i="57"/>
  <c r="G222" i="57"/>
  <c r="H186" i="57"/>
  <c r="H185" i="57"/>
  <c r="H56" i="57"/>
  <c r="G55" i="57"/>
  <c r="H81" i="57"/>
  <c r="G80" i="57"/>
  <c r="H80" i="57" s="1"/>
  <c r="H17" i="57"/>
  <c r="G16" i="57"/>
  <c r="H16" i="57" s="1"/>
  <c r="G13" i="57"/>
  <c r="G221" i="54"/>
  <c r="H222" i="54"/>
  <c r="G54" i="54"/>
  <c r="H55" i="54"/>
  <c r="H170" i="54"/>
  <c r="G169" i="54"/>
  <c r="H169" i="54" s="1"/>
  <c r="H54" i="52"/>
  <c r="G53" i="52"/>
  <c r="H53" i="52" s="1"/>
  <c r="G164" i="52"/>
  <c r="E164" i="54" s="1"/>
  <c r="E163" i="52"/>
  <c r="E159" i="52" s="1"/>
  <c r="H130" i="52"/>
  <c r="H139" i="52"/>
  <c r="G138" i="52"/>
  <c r="H138" i="52" s="1"/>
  <c r="H221" i="52"/>
  <c r="G220" i="52"/>
  <c r="H169" i="52"/>
  <c r="H30" i="48"/>
  <c r="I128" i="46"/>
  <c r="J128" i="46"/>
  <c r="I158" i="46"/>
  <c r="J158" i="46"/>
  <c r="I84" i="46"/>
  <c r="J84" i="46"/>
  <c r="G199" i="49"/>
  <c r="E198" i="49"/>
  <c r="E168" i="49" s="1"/>
  <c r="E167" i="49" s="1"/>
  <c r="E166" i="49" s="1"/>
  <c r="I197" i="46"/>
  <c r="H167" i="46"/>
  <c r="J167" i="46" s="1"/>
  <c r="H130" i="49"/>
  <c r="G129" i="49"/>
  <c r="E129" i="52" s="1"/>
  <c r="G129" i="52" s="1"/>
  <c r="E129" i="54" s="1"/>
  <c r="G129" i="54" s="1"/>
  <c r="H162" i="44"/>
  <c r="G104" i="44"/>
  <c r="H104" i="44" s="1"/>
  <c r="G112" i="33"/>
  <c r="H112" i="33" s="1"/>
  <c r="H156" i="33"/>
  <c r="G152" i="33"/>
  <c r="H152" i="33" s="1"/>
  <c r="H129" i="52" l="1"/>
  <c r="E108" i="52"/>
  <c r="H129" i="54"/>
  <c r="G159" i="49"/>
  <c r="H159" i="49" s="1"/>
  <c r="G108" i="49"/>
  <c r="H220" i="52"/>
  <c r="G118" i="57"/>
  <c r="H118" i="57" s="1"/>
  <c r="H119" i="57"/>
  <c r="G164" i="54"/>
  <c r="E163" i="54"/>
  <c r="E159" i="54" s="1"/>
  <c r="E108" i="54" s="1"/>
  <c r="H139" i="54"/>
  <c r="G138" i="54"/>
  <c r="E139" i="57"/>
  <c r="E138" i="57" s="1"/>
  <c r="G140" i="57"/>
  <c r="G221" i="57"/>
  <c r="H222" i="57"/>
  <c r="H170" i="57"/>
  <c r="H55" i="57"/>
  <c r="G54" i="57"/>
  <c r="H13" i="57"/>
  <c r="H221" i="54"/>
  <c r="G220" i="54"/>
  <c r="H220" i="54" s="1"/>
  <c r="H54" i="54"/>
  <c r="G53" i="54"/>
  <c r="H53" i="54" s="1"/>
  <c r="E199" i="52"/>
  <c r="G199" i="52" s="1"/>
  <c r="H164" i="52"/>
  <c r="G163" i="52"/>
  <c r="G198" i="49"/>
  <c r="H129" i="49"/>
  <c r="I167" i="46"/>
  <c r="H166" i="46"/>
  <c r="J166" i="46" s="1"/>
  <c r="H198" i="49"/>
  <c r="H133" i="33"/>
  <c r="G132" i="33"/>
  <c r="H129" i="57" l="1"/>
  <c r="H138" i="54"/>
  <c r="G163" i="54"/>
  <c r="H164" i="54"/>
  <c r="G139" i="57"/>
  <c r="H140" i="57"/>
  <c r="G220" i="57"/>
  <c r="H220" i="57" s="1"/>
  <c r="H221" i="57"/>
  <c r="H169" i="57"/>
  <c r="G53" i="57"/>
  <c r="H53" i="57" s="1"/>
  <c r="H54" i="57"/>
  <c r="G198" i="52"/>
  <c r="E199" i="54"/>
  <c r="H198" i="52"/>
  <c r="G168" i="52"/>
  <c r="G199" i="54"/>
  <c r="E198" i="54"/>
  <c r="E167" i="54" s="1"/>
  <c r="E166" i="54" s="1"/>
  <c r="H163" i="52"/>
  <c r="G159" i="52"/>
  <c r="G168" i="49"/>
  <c r="G167" i="49" s="1"/>
  <c r="E198" i="52"/>
  <c r="E168" i="52" s="1"/>
  <c r="E167" i="52" s="1"/>
  <c r="E166" i="52" s="1"/>
  <c r="H165" i="46"/>
  <c r="J165" i="46" s="1"/>
  <c r="I166" i="46"/>
  <c r="H132" i="33"/>
  <c r="G131" i="33"/>
  <c r="H131" i="33" s="1"/>
  <c r="H159" i="52" l="1"/>
  <c r="G108" i="52"/>
  <c r="G164" i="57"/>
  <c r="E163" i="57"/>
  <c r="E159" i="57" s="1"/>
  <c r="H163" i="54"/>
  <c r="G159" i="54"/>
  <c r="H139" i="57"/>
  <c r="G138" i="57"/>
  <c r="G198" i="54"/>
  <c r="H198" i="54"/>
  <c r="H168" i="52"/>
  <c r="G167" i="52"/>
  <c r="H168" i="49"/>
  <c r="H167" i="49"/>
  <c r="G166" i="49"/>
  <c r="H107" i="46"/>
  <c r="I165" i="46"/>
  <c r="D22" i="32"/>
  <c r="D21" i="32" s="1"/>
  <c r="D14" i="32"/>
  <c r="D12" i="32" s="1"/>
  <c r="D28" i="32"/>
  <c r="H138" i="57" l="1"/>
  <c r="H159" i="54"/>
  <c r="G108" i="54"/>
  <c r="H164" i="57"/>
  <c r="G163" i="57"/>
  <c r="E108" i="57"/>
  <c r="G167" i="54"/>
  <c r="H168" i="54"/>
  <c r="H167" i="52"/>
  <c r="G166" i="52"/>
  <c r="I107" i="46"/>
  <c r="J107" i="46"/>
  <c r="H166" i="49"/>
  <c r="H108" i="49"/>
  <c r="D20" i="32"/>
  <c r="D36" i="32" s="1"/>
  <c r="D11" i="32" s="1"/>
  <c r="H163" i="57" l="1"/>
  <c r="G159" i="57"/>
  <c r="H159" i="57" s="1"/>
  <c r="H198" i="57"/>
  <c r="H166" i="52"/>
  <c r="H108" i="52"/>
  <c r="H167" i="54"/>
  <c r="G166" i="54"/>
  <c r="D42" i="32"/>
  <c r="H168" i="57" l="1"/>
  <c r="H166" i="54"/>
  <c r="H333" i="33"/>
  <c r="H167" i="57" l="1"/>
  <c r="H108" i="54"/>
  <c r="H326" i="33"/>
  <c r="G325" i="33"/>
  <c r="G295" i="33" s="1"/>
  <c r="H166" i="57" l="1"/>
  <c r="G108" i="57"/>
  <c r="H108" i="57" s="1"/>
  <c r="H325" i="33"/>
  <c r="H295" i="33" l="1"/>
  <c r="H426" i="33" l="1"/>
  <c r="H424" i="33"/>
  <c r="H422" i="33"/>
  <c r="H420" i="33"/>
  <c r="G29" i="32" l="1"/>
  <c r="H418" i="33"/>
  <c r="G417" i="33"/>
  <c r="H29" i="32" l="1"/>
  <c r="E29" i="35"/>
  <c r="G416" i="33"/>
  <c r="H417" i="33"/>
  <c r="E28" i="35" l="1"/>
  <c r="G28" i="35" s="1"/>
  <c r="G29" i="35"/>
  <c r="G415" i="33"/>
  <c r="H415" i="33" s="1"/>
  <c r="H416" i="33"/>
  <c r="H29" i="35" l="1"/>
  <c r="E29" i="37"/>
  <c r="G29" i="37" s="1"/>
  <c r="H28" i="35"/>
  <c r="E28" i="37"/>
  <c r="G28" i="37" s="1"/>
  <c r="H28" i="37" s="1"/>
  <c r="G30" i="32"/>
  <c r="H30" i="32" s="1"/>
  <c r="E28" i="32"/>
  <c r="G28" i="32" s="1"/>
  <c r="H28" i="32" s="1"/>
  <c r="H29" i="37" l="1"/>
  <c r="E29" i="39"/>
  <c r="H406" i="33"/>
  <c r="G405" i="33"/>
  <c r="H405" i="33" s="1"/>
  <c r="G29" i="39" l="1"/>
  <c r="E28" i="39"/>
  <c r="G28" i="39" s="1"/>
  <c r="H28" i="39" s="1"/>
  <c r="G230" i="33"/>
  <c r="G229" i="33" s="1"/>
  <c r="H29" i="39" l="1"/>
  <c r="E29" i="41"/>
  <c r="H230" i="33"/>
  <c r="G29" i="41" l="1"/>
  <c r="E28" i="41"/>
  <c r="G28" i="41" s="1"/>
  <c r="H28" i="41" s="1"/>
  <c r="H229" i="33"/>
  <c r="H29" i="41" l="1"/>
  <c r="E28" i="43"/>
  <c r="G25" i="32"/>
  <c r="G28" i="43" l="1"/>
  <c r="E27" i="43"/>
  <c r="G27" i="43" s="1"/>
  <c r="H27" i="43" s="1"/>
  <c r="H25" i="32"/>
  <c r="E25" i="35"/>
  <c r="G25" i="35" s="1"/>
  <c r="G396" i="33"/>
  <c r="H396" i="33" s="1"/>
  <c r="H397" i="33"/>
  <c r="G399" i="33"/>
  <c r="H399" i="33" s="1"/>
  <c r="H400" i="33"/>
  <c r="H28" i="43" l="1"/>
  <c r="E28" i="45"/>
  <c r="H25" i="35"/>
  <c r="E25" i="37"/>
  <c r="G25" i="37" s="1"/>
  <c r="E25" i="39" s="1"/>
  <c r="G25" i="39" s="1"/>
  <c r="E25" i="41" s="1"/>
  <c r="G25" i="41" s="1"/>
  <c r="H403" i="33"/>
  <c r="G402" i="33"/>
  <c r="H402" i="33" s="1"/>
  <c r="G28" i="45" l="1"/>
  <c r="E27" i="45"/>
  <c r="G27" i="45" s="1"/>
  <c r="H27" i="45" s="1"/>
  <c r="H25" i="41"/>
  <c r="E25" i="43"/>
  <c r="H25" i="39"/>
  <c r="H25" i="37"/>
  <c r="G382" i="33"/>
  <c r="H382" i="33" s="1"/>
  <c r="G27" i="32"/>
  <c r="H27" i="32" s="1"/>
  <c r="H28" i="45" l="1"/>
  <c r="F29" i="47"/>
  <c r="G25" i="43"/>
  <c r="H128" i="33"/>
  <c r="H129" i="33"/>
  <c r="G18" i="32"/>
  <c r="F28" i="47" l="1"/>
  <c r="H28" i="47" s="1"/>
  <c r="H29" i="47"/>
  <c r="J29" i="47" s="1"/>
  <c r="E25" i="45"/>
  <c r="H25" i="43"/>
  <c r="H18" i="32"/>
  <c r="E18" i="35"/>
  <c r="G18" i="35" s="1"/>
  <c r="H293" i="33"/>
  <c r="H187" i="33"/>
  <c r="G185" i="33"/>
  <c r="H185" i="33" s="1"/>
  <c r="H127" i="33"/>
  <c r="I28" i="47" l="1"/>
  <c r="J28" i="47"/>
  <c r="I29" i="47"/>
  <c r="E29" i="48"/>
  <c r="G25" i="45"/>
  <c r="F25" i="47" s="1"/>
  <c r="H25" i="47" s="1"/>
  <c r="J25" i="47" s="1"/>
  <c r="H18" i="35"/>
  <c r="E18" i="37"/>
  <c r="G18" i="37" s="1"/>
  <c r="G24" i="32"/>
  <c r="H145" i="33"/>
  <c r="H143" i="33"/>
  <c r="H147" i="33"/>
  <c r="H144" i="33"/>
  <c r="H141" i="33"/>
  <c r="G29" i="48" l="1"/>
  <c r="E29" i="53" s="1"/>
  <c r="E28" i="48"/>
  <c r="G28" i="48" s="1"/>
  <c r="H28" i="48" s="1"/>
  <c r="I25" i="47"/>
  <c r="E25" i="48"/>
  <c r="H25" i="45"/>
  <c r="H18" i="37"/>
  <c r="E18" i="39"/>
  <c r="G18" i="39" s="1"/>
  <c r="H24" i="32"/>
  <c r="E24" i="35"/>
  <c r="G24" i="35" s="1"/>
  <c r="H140" i="33"/>
  <c r="H142" i="33"/>
  <c r="H126" i="33"/>
  <c r="G125" i="33"/>
  <c r="H125" i="33" s="1"/>
  <c r="G124" i="33"/>
  <c r="G33" i="32"/>
  <c r="H33" i="32" s="1"/>
  <c r="E28" i="53" l="1"/>
  <c r="G28" i="53" s="1"/>
  <c r="H28" i="53" s="1"/>
  <c r="G29" i="53"/>
  <c r="H29" i="48"/>
  <c r="G25" i="48"/>
  <c r="E25" i="53" s="1"/>
  <c r="G25" i="53" s="1"/>
  <c r="H18" i="39"/>
  <c r="E18" i="41"/>
  <c r="G18" i="41" s="1"/>
  <c r="H24" i="35"/>
  <c r="E24" i="37"/>
  <c r="G24" i="37" s="1"/>
  <c r="H84" i="33"/>
  <c r="G83" i="33"/>
  <c r="H83" i="33" s="1"/>
  <c r="G123" i="33"/>
  <c r="H123" i="33" s="1"/>
  <c r="H124" i="33"/>
  <c r="H380" i="33"/>
  <c r="G379" i="33"/>
  <c r="H379" i="33" s="1"/>
  <c r="G26" i="32"/>
  <c r="G376" i="33"/>
  <c r="H377" i="33"/>
  <c r="H29" i="53" l="1"/>
  <c r="E29" i="55"/>
  <c r="H25" i="53"/>
  <c r="E25" i="55"/>
  <c r="G25" i="55" s="1"/>
  <c r="H25" i="48"/>
  <c r="H18" i="41"/>
  <c r="E18" i="43"/>
  <c r="H24" i="37"/>
  <c r="E24" i="39"/>
  <c r="G24" i="39" s="1"/>
  <c r="H26" i="32"/>
  <c r="E26" i="35"/>
  <c r="G26" i="35" s="1"/>
  <c r="H19" i="33"/>
  <c r="H24" i="33"/>
  <c r="H25" i="33"/>
  <c r="H211" i="33"/>
  <c r="H139" i="33"/>
  <c r="H27" i="33"/>
  <c r="H194" i="33"/>
  <c r="H181" i="33"/>
  <c r="H180" i="33"/>
  <c r="H173" i="33"/>
  <c r="H171" i="33"/>
  <c r="H168" i="33"/>
  <c r="H165" i="33"/>
  <c r="H164" i="33"/>
  <c r="H376" i="33"/>
  <c r="G363" i="33"/>
  <c r="E28" i="55" l="1"/>
  <c r="G28" i="55" s="1"/>
  <c r="H28" i="55" s="1"/>
  <c r="G29" i="55"/>
  <c r="H25" i="55"/>
  <c r="G25" i="58"/>
  <c r="H25" i="58" s="1"/>
  <c r="G18" i="43"/>
  <c r="H24" i="39"/>
  <c r="E24" i="41"/>
  <c r="G24" i="41" s="1"/>
  <c r="H26" i="35"/>
  <c r="E26" i="37"/>
  <c r="G26" i="37" s="1"/>
  <c r="E26" i="39" s="1"/>
  <c r="G26" i="39" s="1"/>
  <c r="E26" i="41" s="1"/>
  <c r="G26" i="41" s="1"/>
  <c r="H26" i="33"/>
  <c r="H210" i="33"/>
  <c r="H207" i="33"/>
  <c r="H203" i="33"/>
  <c r="H205" i="33"/>
  <c r="H23" i="33"/>
  <c r="H20" i="33"/>
  <c r="H174" i="33"/>
  <c r="H172" i="33"/>
  <c r="H167" i="33"/>
  <c r="H166" i="33"/>
  <c r="H121" i="33"/>
  <c r="H363" i="33"/>
  <c r="H34" i="33"/>
  <c r="H29" i="55" l="1"/>
  <c r="E18" i="45"/>
  <c r="G18" i="45" s="1"/>
  <c r="H26" i="41"/>
  <c r="E26" i="43"/>
  <c r="G26" i="43" s="1"/>
  <c r="H24" i="41"/>
  <c r="E24" i="43"/>
  <c r="G24" i="43" s="1"/>
  <c r="H18" i="43"/>
  <c r="H26" i="39"/>
  <c r="H26" i="37"/>
  <c r="H206" i="33"/>
  <c r="H209" i="33"/>
  <c r="H208" i="33"/>
  <c r="H21" i="33"/>
  <c r="H204" i="33"/>
  <c r="H18" i="33"/>
  <c r="G29" i="58" l="1"/>
  <c r="H29" i="58" s="1"/>
  <c r="E28" i="58"/>
  <c r="G28" i="58" s="1"/>
  <c r="H28" i="58" s="1"/>
  <c r="H18" i="45"/>
  <c r="F18" i="47"/>
  <c r="H18" i="47" s="1"/>
  <c r="E24" i="45"/>
  <c r="G24" i="45" s="1"/>
  <c r="E26" i="45"/>
  <c r="G26" i="45" s="1"/>
  <c r="H24" i="43"/>
  <c r="H26" i="43"/>
  <c r="H22" i="33"/>
  <c r="H193" i="33"/>
  <c r="G191" i="33"/>
  <c r="H191" i="33" s="1"/>
  <c r="E31" i="32"/>
  <c r="G32" i="32"/>
  <c r="J18" i="47" l="1"/>
  <c r="I18" i="47"/>
  <c r="E18" i="48"/>
  <c r="G18" i="48" s="1"/>
  <c r="E18" i="53" s="1"/>
  <c r="G18" i="53" s="1"/>
  <c r="H18" i="53" s="1"/>
  <c r="H24" i="45"/>
  <c r="F24" i="47"/>
  <c r="H24" i="47" s="1"/>
  <c r="H26" i="45"/>
  <c r="F26" i="47"/>
  <c r="H26" i="47" s="1"/>
  <c r="H289" i="33"/>
  <c r="G288" i="33"/>
  <c r="H288" i="33" s="1"/>
  <c r="H32" i="32"/>
  <c r="G31" i="32"/>
  <c r="H31" i="32" s="1"/>
  <c r="H18" i="48" l="1"/>
  <c r="E24" i="48"/>
  <c r="G24" i="48" s="1"/>
  <c r="E24" i="53" s="1"/>
  <c r="G24" i="53" s="1"/>
  <c r="H24" i="53" s="1"/>
  <c r="J24" i="47"/>
  <c r="I24" i="47"/>
  <c r="E26" i="48"/>
  <c r="G26" i="48" s="1"/>
  <c r="E26" i="53" s="1"/>
  <c r="G26" i="53" s="1"/>
  <c r="J26" i="47"/>
  <c r="I26" i="47"/>
  <c r="G169" i="33"/>
  <c r="H169" i="33" s="1"/>
  <c r="H170" i="33"/>
  <c r="H26" i="53" l="1"/>
  <c r="E26" i="55"/>
  <c r="G26" i="55" s="1"/>
  <c r="H24" i="48"/>
  <c r="H26" i="48"/>
  <c r="G13" i="32"/>
  <c r="E13" i="35" s="1"/>
  <c r="G13" i="35" s="1"/>
  <c r="H196" i="33"/>
  <c r="G195" i="33"/>
  <c r="H195" i="33" s="1"/>
  <c r="H179" i="33"/>
  <c r="G178" i="33"/>
  <c r="H178" i="33" s="1"/>
  <c r="H163" i="33"/>
  <c r="G162" i="33"/>
  <c r="H26" i="55" l="1"/>
  <c r="G26" i="58"/>
  <c r="H26" i="58" s="1"/>
  <c r="H13" i="35"/>
  <c r="E13" i="37"/>
  <c r="H13" i="32"/>
  <c r="H217" i="33"/>
  <c r="G216" i="33"/>
  <c r="H202" i="33"/>
  <c r="G201" i="33"/>
  <c r="G49" i="33"/>
  <c r="H50" i="33"/>
  <c r="G161" i="33"/>
  <c r="H162" i="33"/>
  <c r="G13" i="37" l="1"/>
  <c r="E13" i="39" s="1"/>
  <c r="G13" i="39" s="1"/>
  <c r="H277" i="33"/>
  <c r="G276" i="33"/>
  <c r="H216" i="33"/>
  <c r="G215" i="33"/>
  <c r="H201" i="33"/>
  <c r="G200" i="33"/>
  <c r="G93" i="33"/>
  <c r="H94" i="33"/>
  <c r="G48" i="33"/>
  <c r="H49" i="33"/>
  <c r="G160" i="33"/>
  <c r="H161" i="33"/>
  <c r="G119" i="33"/>
  <c r="H119" i="33" s="1"/>
  <c r="H120" i="33"/>
  <c r="E22" i="32"/>
  <c r="E21" i="32" s="1"/>
  <c r="E20" i="32" s="1"/>
  <c r="G23" i="32"/>
  <c r="E23" i="35" s="1"/>
  <c r="H13" i="39" l="1"/>
  <c r="E13" i="41"/>
  <c r="G13" i="41" s="1"/>
  <c r="H13" i="37"/>
  <c r="G23" i="35"/>
  <c r="E23" i="37" s="1"/>
  <c r="G23" i="37" s="1"/>
  <c r="E23" i="39" s="1"/>
  <c r="E22" i="35"/>
  <c r="E21" i="35" s="1"/>
  <c r="E20" i="35" s="1"/>
  <c r="G228" i="33"/>
  <c r="G227" i="33" s="1"/>
  <c r="G226" i="33" s="1"/>
  <c r="G225" i="33" s="1"/>
  <c r="H276" i="33"/>
  <c r="G214" i="33"/>
  <c r="H215" i="33"/>
  <c r="H200" i="33"/>
  <c r="G199" i="33"/>
  <c r="H199" i="33" s="1"/>
  <c r="H93" i="33"/>
  <c r="G92" i="33"/>
  <c r="H48" i="33"/>
  <c r="G47" i="33"/>
  <c r="H47" i="33" s="1"/>
  <c r="H160" i="33"/>
  <c r="G159" i="33"/>
  <c r="H159" i="33" s="1"/>
  <c r="H89" i="33"/>
  <c r="G88" i="33"/>
  <c r="H88" i="33" s="1"/>
  <c r="G87" i="33"/>
  <c r="H23" i="32"/>
  <c r="G22" i="32"/>
  <c r="H13" i="41" l="1"/>
  <c r="E13" i="43"/>
  <c r="G13" i="43" s="1"/>
  <c r="G23" i="39"/>
  <c r="E23" i="41" s="1"/>
  <c r="E22" i="39"/>
  <c r="E21" i="39" s="1"/>
  <c r="E20" i="39" s="1"/>
  <c r="H23" i="37"/>
  <c r="G22" i="37"/>
  <c r="H23" i="35"/>
  <c r="G22" i="35"/>
  <c r="E22" i="37" s="1"/>
  <c r="H228" i="33"/>
  <c r="H138" i="33"/>
  <c r="G137" i="33"/>
  <c r="H137" i="33" s="1"/>
  <c r="H214" i="33"/>
  <c r="G213" i="33"/>
  <c r="H213" i="33" s="1"/>
  <c r="H17" i="33"/>
  <c r="G16" i="33"/>
  <c r="H16" i="33" s="1"/>
  <c r="H13" i="33"/>
  <c r="H92" i="33"/>
  <c r="G91" i="33"/>
  <c r="H91" i="33" s="1"/>
  <c r="H55" i="33"/>
  <c r="G54" i="33"/>
  <c r="H87" i="33"/>
  <c r="G86" i="33"/>
  <c r="H86" i="33" s="1"/>
  <c r="H38" i="33"/>
  <c r="G21" i="32"/>
  <c r="H22" i="32"/>
  <c r="E13" i="45" l="1"/>
  <c r="H13" i="43"/>
  <c r="G23" i="41"/>
  <c r="E23" i="43" s="1"/>
  <c r="E22" i="41"/>
  <c r="E21" i="41" s="1"/>
  <c r="E20" i="41" s="1"/>
  <c r="H23" i="39"/>
  <c r="G22" i="39"/>
  <c r="G21" i="37"/>
  <c r="H22" i="37"/>
  <c r="H22" i="35"/>
  <c r="G21" i="35"/>
  <c r="E21" i="37" s="1"/>
  <c r="H227" i="33"/>
  <c r="H54" i="33"/>
  <c r="G53" i="33"/>
  <c r="G20" i="32"/>
  <c r="H20" i="32" s="1"/>
  <c r="H21" i="32"/>
  <c r="G13" i="45" l="1"/>
  <c r="F13" i="47" s="1"/>
  <c r="H13" i="47" s="1"/>
  <c r="G23" i="43"/>
  <c r="E22" i="43"/>
  <c r="H23" i="41"/>
  <c r="G22" i="41"/>
  <c r="G21" i="39"/>
  <c r="H22" i="39"/>
  <c r="H21" i="37"/>
  <c r="G20" i="37"/>
  <c r="H20" i="37" s="1"/>
  <c r="G20" i="35"/>
  <c r="H21" i="35"/>
  <c r="H226" i="33"/>
  <c r="H225" i="33"/>
  <c r="H53" i="33"/>
  <c r="G52" i="33"/>
  <c r="H52" i="33" s="1"/>
  <c r="H37" i="33"/>
  <c r="J13" i="47" l="1"/>
  <c r="I13" i="47"/>
  <c r="E13" i="48"/>
  <c r="E21" i="43"/>
  <c r="E20" i="43" s="1"/>
  <c r="E23" i="45"/>
  <c r="E22" i="45" s="1"/>
  <c r="E21" i="45" s="1"/>
  <c r="E20" i="45" s="1"/>
  <c r="H13" i="45"/>
  <c r="H23" i="43"/>
  <c r="G22" i="43"/>
  <c r="G21" i="43" s="1"/>
  <c r="H22" i="41"/>
  <c r="G21" i="41"/>
  <c r="G20" i="39"/>
  <c r="H21" i="39"/>
  <c r="H20" i="35"/>
  <c r="E20" i="37"/>
  <c r="G19" i="32"/>
  <c r="G13" i="48" l="1"/>
  <c r="E13" i="53" s="1"/>
  <c r="G13" i="53" s="1"/>
  <c r="G23" i="45"/>
  <c r="H22" i="43"/>
  <c r="H20" i="39"/>
  <c r="G20" i="41"/>
  <c r="H20" i="41" s="1"/>
  <c r="H21" i="41"/>
  <c r="H19" i="32"/>
  <c r="E19" i="35"/>
  <c r="H60" i="33"/>
  <c r="G59" i="33"/>
  <c r="H13" i="53" l="1"/>
  <c r="E13" i="55"/>
  <c r="G13" i="55" s="1"/>
  <c r="H13" i="48"/>
  <c r="H23" i="45"/>
  <c r="F23" i="47"/>
  <c r="H23" i="47" s="1"/>
  <c r="G22" i="45"/>
  <c r="G21" i="45" s="1"/>
  <c r="G20" i="45" s="1"/>
  <c r="H21" i="43"/>
  <c r="G20" i="43"/>
  <c r="H20" i="43" s="1"/>
  <c r="G19" i="35"/>
  <c r="E19" i="37" s="1"/>
  <c r="H59" i="33"/>
  <c r="H65" i="33"/>
  <c r="G64" i="33"/>
  <c r="H13" i="55" l="1"/>
  <c r="E23" i="48"/>
  <c r="G23" i="48" s="1"/>
  <c r="E23" i="53" s="1"/>
  <c r="J23" i="47"/>
  <c r="F22" i="47"/>
  <c r="F21" i="47" s="1"/>
  <c r="F20" i="47" s="1"/>
  <c r="H22" i="45"/>
  <c r="H21" i="45"/>
  <c r="H20" i="45"/>
  <c r="G19" i="37"/>
  <c r="E19" i="39" s="1"/>
  <c r="G19" i="39" s="1"/>
  <c r="H19" i="35"/>
  <c r="H64" i="33"/>
  <c r="E22" i="48" l="1"/>
  <c r="E21" i="48" s="1"/>
  <c r="E20" i="48" s="1"/>
  <c r="G13" i="58"/>
  <c r="E22" i="53"/>
  <c r="E21" i="53" s="1"/>
  <c r="E20" i="53" s="1"/>
  <c r="G23" i="53"/>
  <c r="E23" i="55" s="1"/>
  <c r="H23" i="48"/>
  <c r="G22" i="48"/>
  <c r="H22" i="47"/>
  <c r="J22" i="47" s="1"/>
  <c r="I23" i="47"/>
  <c r="H19" i="39"/>
  <c r="E19" i="41"/>
  <c r="G19" i="41" s="1"/>
  <c r="H19" i="37"/>
  <c r="G81" i="33"/>
  <c r="H82" i="33"/>
  <c r="E22" i="55" l="1"/>
  <c r="E21" i="55" s="1"/>
  <c r="E20" i="55" s="1"/>
  <c r="G23" i="55"/>
  <c r="H13" i="58"/>
  <c r="H23" i="53"/>
  <c r="G22" i="53"/>
  <c r="H22" i="48"/>
  <c r="G21" i="48"/>
  <c r="H21" i="47"/>
  <c r="J21" i="47" s="1"/>
  <c r="I22" i="47"/>
  <c r="H19" i="41"/>
  <c r="E19" i="43"/>
  <c r="H81" i="33"/>
  <c r="G80" i="33"/>
  <c r="H23" i="55" l="1"/>
  <c r="G22" i="55"/>
  <c r="G21" i="53"/>
  <c r="H22" i="53"/>
  <c r="H21" i="48"/>
  <c r="G20" i="48"/>
  <c r="H20" i="48" s="1"/>
  <c r="H20" i="47"/>
  <c r="I21" i="47"/>
  <c r="G19" i="43"/>
  <c r="G79" i="33"/>
  <c r="H79" i="33" s="1"/>
  <c r="H80" i="33"/>
  <c r="H22" i="55" l="1"/>
  <c r="G21" i="55"/>
  <c r="G23" i="58"/>
  <c r="E22" i="58"/>
  <c r="E21" i="58" s="1"/>
  <c r="E20" i="58" s="1"/>
  <c r="G20" i="53"/>
  <c r="H20" i="53" s="1"/>
  <c r="H21" i="53"/>
  <c r="I20" i="47"/>
  <c r="J20" i="47"/>
  <c r="E19" i="45"/>
  <c r="G19" i="45" s="1"/>
  <c r="H19" i="43"/>
  <c r="H45" i="33"/>
  <c r="H23" i="58" l="1"/>
  <c r="G22" i="58"/>
  <c r="G20" i="55"/>
  <c r="H20" i="55" s="1"/>
  <c r="H21" i="55"/>
  <c r="H19" i="45"/>
  <c r="F19" i="47"/>
  <c r="H19" i="47" s="1"/>
  <c r="J19" i="47" s="1"/>
  <c r="H44" i="33"/>
  <c r="G43" i="33"/>
  <c r="H22" i="58" l="1"/>
  <c r="G21" i="58"/>
  <c r="I19" i="47"/>
  <c r="E19" i="48"/>
  <c r="G42" i="33"/>
  <c r="H43" i="33"/>
  <c r="G20" i="58" l="1"/>
  <c r="H20" i="58" s="1"/>
  <c r="H21" i="58"/>
  <c r="G19" i="48"/>
  <c r="E19" i="53" s="1"/>
  <c r="G19" i="53" s="1"/>
  <c r="G41" i="33"/>
  <c r="H42" i="33"/>
  <c r="H19" i="53" l="1"/>
  <c r="E19" i="55"/>
  <c r="G19" i="55" s="1"/>
  <c r="H19" i="48"/>
  <c r="E14" i="32"/>
  <c r="E12" i="32" s="1"/>
  <c r="E36" i="32" s="1"/>
  <c r="E11" i="32" s="1"/>
  <c r="H41" i="33"/>
  <c r="G40" i="33"/>
  <c r="H19" i="55" l="1"/>
  <c r="G19" i="58"/>
  <c r="H19" i="58" s="1"/>
  <c r="H40" i="33"/>
  <c r="H107" i="33" l="1"/>
  <c r="G106" i="33"/>
  <c r="H106" i="33" l="1"/>
  <c r="G104" i="33"/>
  <c r="G102" i="33" s="1"/>
  <c r="H104" i="33" l="1"/>
  <c r="H102" i="33" l="1"/>
  <c r="H32" i="33" l="1"/>
  <c r="F31" i="33" l="1"/>
  <c r="F29" i="33" l="1"/>
  <c r="H33" i="33"/>
  <c r="G31" i="33"/>
  <c r="H31" i="33" l="1"/>
  <c r="G30" i="33"/>
  <c r="H30" i="33" l="1"/>
  <c r="G29" i="33"/>
  <c r="H29" i="33" l="1"/>
  <c r="H67" i="33" l="1"/>
  <c r="F71" i="33"/>
  <c r="F70" i="33" s="1"/>
  <c r="F17" i="32" s="1"/>
  <c r="G17" i="32" s="1"/>
  <c r="H72" i="33"/>
  <c r="H17" i="32" l="1"/>
  <c r="E17" i="35"/>
  <c r="G17" i="35" s="1"/>
  <c r="F68" i="33"/>
  <c r="F63" i="33" s="1"/>
  <c r="H69" i="33"/>
  <c r="F61" i="33"/>
  <c r="F58" i="33" s="1"/>
  <c r="G71" i="33"/>
  <c r="H71" i="33" s="1"/>
  <c r="H17" i="35" l="1"/>
  <c r="E17" i="37"/>
  <c r="F16" i="32"/>
  <c r="G16" i="32" s="1"/>
  <c r="F57" i="33"/>
  <c r="F14" i="33"/>
  <c r="F12" i="33" s="1"/>
  <c r="F11" i="33" s="1"/>
  <c r="H66" i="33"/>
  <c r="G68" i="33"/>
  <c r="H68" i="33" s="1"/>
  <c r="G61" i="33"/>
  <c r="H62" i="33"/>
  <c r="F15" i="32"/>
  <c r="G70" i="33"/>
  <c r="H70" i="33" s="1"/>
  <c r="H16" i="32" l="1"/>
  <c r="E16" i="35"/>
  <c r="G16" i="35" s="1"/>
  <c r="F459" i="33"/>
  <c r="G63" i="33"/>
  <c r="G15" i="32"/>
  <c r="E15" i="35" s="1"/>
  <c r="F14" i="32"/>
  <c r="F12" i="32" s="1"/>
  <c r="F36" i="32" s="1"/>
  <c r="G58" i="33"/>
  <c r="H61" i="33"/>
  <c r="H16" i="35" l="1"/>
  <c r="E16" i="37"/>
  <c r="G15" i="35"/>
  <c r="E15" i="37" s="1"/>
  <c r="E14" i="35"/>
  <c r="E12" i="35" s="1"/>
  <c r="E36" i="35" s="1"/>
  <c r="E11" i="35" s="1"/>
  <c r="H63" i="33"/>
  <c r="G14" i="33"/>
  <c r="G57" i="33"/>
  <c r="H57" i="33" s="1"/>
  <c r="H58" i="33"/>
  <c r="F42" i="32"/>
  <c r="H42" i="32" s="1"/>
  <c r="F11" i="32"/>
  <c r="H15" i="32"/>
  <c r="G14" i="32"/>
  <c r="E14" i="37" l="1"/>
  <c r="E12" i="37" s="1"/>
  <c r="H15" i="35"/>
  <c r="G14" i="35"/>
  <c r="G12" i="32"/>
  <c r="H14" i="32"/>
  <c r="G12" i="33"/>
  <c r="G11" i="33" s="1"/>
  <c r="H14" i="33"/>
  <c r="E36" i="37" l="1"/>
  <c r="E11" i="37"/>
  <c r="H14" i="35"/>
  <c r="G12" i="35"/>
  <c r="H12" i="33"/>
  <c r="G459" i="33"/>
  <c r="G36" i="32"/>
  <c r="H12" i="32"/>
  <c r="H12" i="35" l="1"/>
  <c r="G36" i="35"/>
  <c r="G11" i="32"/>
  <c r="H11" i="32" s="1"/>
  <c r="H36" i="32"/>
  <c r="H459" i="33"/>
  <c r="H11" i="33"/>
  <c r="G11" i="35" l="1"/>
  <c r="H11" i="35" s="1"/>
  <c r="H36" i="35"/>
  <c r="F54" i="36" l="1"/>
  <c r="F53" i="36" s="1"/>
  <c r="G55" i="36"/>
  <c r="E55" i="38" l="1"/>
  <c r="G54" i="36"/>
  <c r="H55" i="36"/>
  <c r="F52" i="36"/>
  <c r="H54" i="36" l="1"/>
  <c r="G53" i="36"/>
  <c r="G55" i="38"/>
  <c r="E54" i="38"/>
  <c r="E53" i="38" s="1"/>
  <c r="E52" i="38" s="1"/>
  <c r="E57" i="40" l="1"/>
  <c r="H53" i="36"/>
  <c r="G52" i="36"/>
  <c r="G54" i="38"/>
  <c r="H55" i="38"/>
  <c r="E56" i="40" l="1"/>
  <c r="E55" i="40" s="1"/>
  <c r="E54" i="40" s="1"/>
  <c r="G57" i="40"/>
  <c r="E57" i="42" s="1"/>
  <c r="H52" i="36"/>
  <c r="G53" i="38"/>
  <c r="H54" i="38"/>
  <c r="E56" i="42" l="1"/>
  <c r="E55" i="42" s="1"/>
  <c r="E54" i="42" s="1"/>
  <c r="H57" i="40"/>
  <c r="G56" i="40"/>
  <c r="G52" i="38"/>
  <c r="H53" i="38"/>
  <c r="H56" i="40" l="1"/>
  <c r="G55" i="40"/>
  <c r="H52" i="38"/>
  <c r="G54" i="40" l="1"/>
  <c r="H54" i="40" s="1"/>
  <c r="H55" i="40"/>
  <c r="F59" i="36" l="1"/>
  <c r="G60" i="36"/>
  <c r="E60" i="38" l="1"/>
  <c r="H60" i="36"/>
  <c r="G59" i="36"/>
  <c r="H59" i="36" s="1"/>
  <c r="F64" i="36"/>
  <c r="G65" i="36"/>
  <c r="F66" i="36"/>
  <c r="G67" i="36"/>
  <c r="F61" i="36"/>
  <c r="F58" i="36" s="1"/>
  <c r="G62" i="36"/>
  <c r="F68" i="36"/>
  <c r="G69" i="36"/>
  <c r="F71" i="36"/>
  <c r="F70" i="36" s="1"/>
  <c r="F17" i="37" s="1"/>
  <c r="G17" i="37" s="1"/>
  <c r="G72" i="36"/>
  <c r="E65" i="38" l="1"/>
  <c r="H65" i="36"/>
  <c r="G64" i="36"/>
  <c r="H64" i="36" s="1"/>
  <c r="E59" i="38"/>
  <c r="G60" i="38"/>
  <c r="F15" i="37"/>
  <c r="H17" i="37"/>
  <c r="E17" i="39"/>
  <c r="G17" i="39" s="1"/>
  <c r="E69" i="38"/>
  <c r="H69" i="36"/>
  <c r="G68" i="36"/>
  <c r="H68" i="36" s="1"/>
  <c r="E67" i="38"/>
  <c r="G66" i="36"/>
  <c r="H67" i="36"/>
  <c r="E72" i="38"/>
  <c r="H72" i="36"/>
  <c r="G71" i="36"/>
  <c r="E62" i="38"/>
  <c r="H62" i="36"/>
  <c r="G61" i="36"/>
  <c r="F63" i="36"/>
  <c r="F16" i="37" s="1"/>
  <c r="G16" i="37" s="1"/>
  <c r="H17" i="39" l="1"/>
  <c r="E17" i="41"/>
  <c r="E62" i="40"/>
  <c r="G59" i="38"/>
  <c r="H59" i="38" s="1"/>
  <c r="H60" i="38"/>
  <c r="G65" i="38"/>
  <c r="E64" i="38"/>
  <c r="G72" i="38"/>
  <c r="E71" i="38"/>
  <c r="E70" i="38" s="1"/>
  <c r="E61" i="38"/>
  <c r="E58" i="38" s="1"/>
  <c r="G62" i="38"/>
  <c r="F14" i="36"/>
  <c r="F12" i="36" s="1"/>
  <c r="F11" i="36" s="1"/>
  <c r="F459" i="36" s="1"/>
  <c r="H16" i="37"/>
  <c r="E16" i="39"/>
  <c r="G16" i="39" s="1"/>
  <c r="G70" i="36"/>
  <c r="H70" i="36" s="1"/>
  <c r="H71" i="36"/>
  <c r="H66" i="36"/>
  <c r="G63" i="36"/>
  <c r="H63" i="36" s="1"/>
  <c r="E68" i="38"/>
  <c r="G69" i="38"/>
  <c r="G15" i="37"/>
  <c r="F14" i="37"/>
  <c r="F12" i="37" s="1"/>
  <c r="H61" i="36"/>
  <c r="G58" i="36"/>
  <c r="E66" i="38"/>
  <c r="G67" i="38"/>
  <c r="F57" i="36"/>
  <c r="F36" i="37" l="1"/>
  <c r="F42" i="37" s="1"/>
  <c r="H42" i="37" s="1"/>
  <c r="F11" i="37"/>
  <c r="G17" i="41"/>
  <c r="E74" i="40"/>
  <c r="G74" i="40" s="1"/>
  <c r="E74" i="42" s="1"/>
  <c r="E71" i="40"/>
  <c r="E69" i="40"/>
  <c r="H16" i="39"/>
  <c r="E16" i="41"/>
  <c r="E67" i="40"/>
  <c r="E64" i="40"/>
  <c r="E61" i="40"/>
  <c r="G62" i="40"/>
  <c r="E62" i="42" s="1"/>
  <c r="H65" i="38"/>
  <c r="G64" i="38"/>
  <c r="H64" i="38" s="1"/>
  <c r="G68" i="38"/>
  <c r="H68" i="38" s="1"/>
  <c r="H69" i="38"/>
  <c r="G61" i="38"/>
  <c r="H62" i="38"/>
  <c r="G66" i="38"/>
  <c r="H67" i="38"/>
  <c r="H58" i="36"/>
  <c r="G57" i="36"/>
  <c r="H57" i="36" s="1"/>
  <c r="G14" i="36"/>
  <c r="E63" i="38"/>
  <c r="E57" i="38" s="1"/>
  <c r="H15" i="37"/>
  <c r="G14" i="37"/>
  <c r="E15" i="39"/>
  <c r="G71" i="38"/>
  <c r="H72" i="38"/>
  <c r="E61" i="42" l="1"/>
  <c r="H17" i="41"/>
  <c r="E17" i="43"/>
  <c r="G16" i="41"/>
  <c r="H74" i="40"/>
  <c r="G73" i="40"/>
  <c r="E70" i="40"/>
  <c r="G71" i="40"/>
  <c r="E71" i="42" s="1"/>
  <c r="E68" i="40"/>
  <c r="G69" i="40"/>
  <c r="E69" i="42" s="1"/>
  <c r="G67" i="40"/>
  <c r="E67" i="42" s="1"/>
  <c r="E66" i="40"/>
  <c r="G64" i="40"/>
  <c r="E64" i="42" s="1"/>
  <c r="E63" i="40"/>
  <c r="E60" i="40" s="1"/>
  <c r="G61" i="40"/>
  <c r="H62" i="40"/>
  <c r="E14" i="38"/>
  <c r="E12" i="38" s="1"/>
  <c r="E11" i="38" s="1"/>
  <c r="E459" i="38" s="1"/>
  <c r="H61" i="38"/>
  <c r="G58" i="38"/>
  <c r="G15" i="39"/>
  <c r="E15" i="41" s="1"/>
  <c r="E14" i="39"/>
  <c r="E12" i="39" s="1"/>
  <c r="H14" i="37"/>
  <c r="G12" i="37"/>
  <c r="G11" i="37" s="1"/>
  <c r="H14" i="36"/>
  <c r="G12" i="36"/>
  <c r="G70" i="38"/>
  <c r="H70" i="38" s="1"/>
  <c r="H71" i="38"/>
  <c r="H66" i="38"/>
  <c r="G63" i="38"/>
  <c r="H63" i="38" s="1"/>
  <c r="E66" i="42" l="1"/>
  <c r="E63" i="42"/>
  <c r="E60" i="42" s="1"/>
  <c r="E68" i="42"/>
  <c r="H16" i="41"/>
  <c r="E16" i="43"/>
  <c r="E70" i="42"/>
  <c r="E36" i="39"/>
  <c r="E11" i="39"/>
  <c r="E65" i="40"/>
  <c r="E14" i="40" s="1"/>
  <c r="E12" i="40" s="1"/>
  <c r="E11" i="40" s="1"/>
  <c r="E463" i="40" s="1"/>
  <c r="G72" i="40"/>
  <c r="H72" i="40" s="1"/>
  <c r="H73" i="40"/>
  <c r="H71" i="40"/>
  <c r="G70" i="40"/>
  <c r="H70" i="40" s="1"/>
  <c r="H69" i="40"/>
  <c r="G68" i="40"/>
  <c r="H68" i="40" s="1"/>
  <c r="G66" i="40"/>
  <c r="H67" i="40"/>
  <c r="H64" i="40"/>
  <c r="G63" i="40"/>
  <c r="H63" i="40" s="1"/>
  <c r="G15" i="41"/>
  <c r="E15" i="43" s="1"/>
  <c r="E14" i="41"/>
  <c r="E12" i="41" s="1"/>
  <c r="E36" i="41" s="1"/>
  <c r="E11" i="41" s="1"/>
  <c r="H61" i="40"/>
  <c r="H12" i="36"/>
  <c r="G11" i="36"/>
  <c r="H15" i="39"/>
  <c r="G14" i="39"/>
  <c r="G12" i="39" s="1"/>
  <c r="G11" i="39" s="1"/>
  <c r="H12" i="37"/>
  <c r="G36" i="37"/>
  <c r="H58" i="38"/>
  <c r="G57" i="38"/>
  <c r="H57" i="38" s="1"/>
  <c r="G14" i="38"/>
  <c r="E14" i="43" l="1"/>
  <c r="E12" i="43" s="1"/>
  <c r="E11" i="43" s="1"/>
  <c r="E65" i="42"/>
  <c r="E59" i="42" s="1"/>
  <c r="E59" i="40"/>
  <c r="H66" i="40"/>
  <c r="G65" i="40"/>
  <c r="H65" i="40" s="1"/>
  <c r="G60" i="40"/>
  <c r="H60" i="40" s="1"/>
  <c r="H15" i="41"/>
  <c r="G14" i="41"/>
  <c r="H14" i="39"/>
  <c r="H11" i="37"/>
  <c r="H36" i="37"/>
  <c r="G459" i="36"/>
  <c r="H459" i="36" s="1"/>
  <c r="H11" i="36"/>
  <c r="G12" i="38"/>
  <c r="H14" i="38"/>
  <c r="E35" i="43" l="1"/>
  <c r="E14" i="42"/>
  <c r="E12" i="42" s="1"/>
  <c r="E11" i="42" s="1"/>
  <c r="G14" i="40"/>
  <c r="H14" i="40" s="1"/>
  <c r="G59" i="40"/>
  <c r="H59" i="40" s="1"/>
  <c r="H14" i="41"/>
  <c r="G12" i="41"/>
  <c r="G36" i="39"/>
  <c r="H12" i="39"/>
  <c r="H12" i="38"/>
  <c r="G11" i="38"/>
  <c r="G459" i="38" s="1"/>
  <c r="E458" i="42" l="1"/>
  <c r="G12" i="40"/>
  <c r="G11" i="40" s="1"/>
  <c r="H12" i="41"/>
  <c r="G36" i="41"/>
  <c r="H459" i="38"/>
  <c r="H11" i="38"/>
  <c r="H36" i="39"/>
  <c r="H11" i="39" l="1"/>
  <c r="H12" i="40"/>
  <c r="G463" i="40"/>
  <c r="H463" i="40" s="1"/>
  <c r="H11" i="40"/>
  <c r="H36" i="41"/>
  <c r="G11" i="41"/>
  <c r="H11" i="41" l="1"/>
  <c r="F56" i="42" l="1"/>
  <c r="F55" i="42" s="1"/>
  <c r="G57" i="42"/>
  <c r="E57" i="44" l="1"/>
  <c r="H57" i="42"/>
  <c r="G56" i="42"/>
  <c r="F54" i="42"/>
  <c r="H56" i="42" l="1"/>
  <c r="G55" i="42"/>
  <c r="E56" i="44"/>
  <c r="E55" i="44" s="1"/>
  <c r="E54" i="44" s="1"/>
  <c r="G57" i="44"/>
  <c r="F60" i="46" s="1"/>
  <c r="F59" i="46" l="1"/>
  <c r="F58" i="46" s="1"/>
  <c r="F57" i="46" s="1"/>
  <c r="H60" i="46"/>
  <c r="G56" i="44"/>
  <c r="H57" i="44"/>
  <c r="G54" i="42"/>
  <c r="H55" i="42"/>
  <c r="E61" i="49" l="1"/>
  <c r="G61" i="49" s="1"/>
  <c r="E61" i="52" s="1"/>
  <c r="E60" i="52" s="1"/>
  <c r="E59" i="52" s="1"/>
  <c r="E58" i="52" s="1"/>
  <c r="J60" i="46"/>
  <c r="H59" i="46"/>
  <c r="J59" i="46" s="1"/>
  <c r="I60" i="46"/>
  <c r="H54" i="42"/>
  <c r="H56" i="44"/>
  <c r="G55" i="44"/>
  <c r="G61" i="52" l="1"/>
  <c r="E60" i="49"/>
  <c r="E59" i="49" s="1"/>
  <c r="E58" i="49" s="1"/>
  <c r="H61" i="49"/>
  <c r="G60" i="49"/>
  <c r="I59" i="46"/>
  <c r="H58" i="46"/>
  <c r="J58" i="46" s="1"/>
  <c r="G54" i="44"/>
  <c r="H55" i="44"/>
  <c r="H61" i="52" l="1"/>
  <c r="E61" i="54"/>
  <c r="G60" i="52"/>
  <c r="H60" i="52" s="1"/>
  <c r="G59" i="49"/>
  <c r="H60" i="49"/>
  <c r="I58" i="46"/>
  <c r="H57" i="46"/>
  <c r="H54" i="44"/>
  <c r="G61" i="54" l="1"/>
  <c r="E60" i="54"/>
  <c r="E59" i="54" s="1"/>
  <c r="E58" i="54" s="1"/>
  <c r="G59" i="52"/>
  <c r="H59" i="52" s="1"/>
  <c r="I57" i="46"/>
  <c r="J57" i="46"/>
  <c r="G58" i="49"/>
  <c r="H58" i="49" s="1"/>
  <c r="H59" i="49"/>
  <c r="F61" i="42"/>
  <c r="G62" i="42"/>
  <c r="G61" i="57" l="1"/>
  <c r="E60" i="57"/>
  <c r="E59" i="57" s="1"/>
  <c r="E58" i="57" s="1"/>
  <c r="H61" i="54"/>
  <c r="G60" i="54"/>
  <c r="G58" i="52"/>
  <c r="H58" i="52" s="1"/>
  <c r="E62" i="44"/>
  <c r="G61" i="42"/>
  <c r="H61" i="42" s="1"/>
  <c r="H62" i="42"/>
  <c r="F73" i="42"/>
  <c r="F72" i="42" s="1"/>
  <c r="G14" i="47" s="1"/>
  <c r="G12" i="47" s="1"/>
  <c r="G36" i="47" s="1"/>
  <c r="G74" i="42"/>
  <c r="F70" i="42"/>
  <c r="G71" i="42"/>
  <c r="F63" i="42"/>
  <c r="F60" i="42" s="1"/>
  <c r="G64" i="42"/>
  <c r="F68" i="42"/>
  <c r="G69" i="42"/>
  <c r="F66" i="42"/>
  <c r="G67" i="42"/>
  <c r="G60" i="57" l="1"/>
  <c r="H61" i="57"/>
  <c r="G59" i="54"/>
  <c r="H60" i="54"/>
  <c r="G11" i="47"/>
  <c r="G42" i="47"/>
  <c r="I42" i="47" s="1"/>
  <c r="F65" i="42"/>
  <c r="F16" i="43" s="1"/>
  <c r="G16" i="43" s="1"/>
  <c r="G62" i="44"/>
  <c r="F65" i="46" s="1"/>
  <c r="E61" i="44"/>
  <c r="E71" i="44"/>
  <c r="H71" i="42"/>
  <c r="G70" i="42"/>
  <c r="H70" i="42" s="1"/>
  <c r="E74" i="44"/>
  <c r="G74" i="44" s="1"/>
  <c r="H74" i="42"/>
  <c r="G73" i="42"/>
  <c r="F14" i="45"/>
  <c r="F12" i="45" s="1"/>
  <c r="F35" i="45" s="1"/>
  <c r="G17" i="43"/>
  <c r="E64" i="44"/>
  <c r="H64" i="42"/>
  <c r="G63" i="42"/>
  <c r="E69" i="44"/>
  <c r="G68" i="42"/>
  <c r="H68" i="42" s="1"/>
  <c r="H69" i="42"/>
  <c r="E67" i="44"/>
  <c r="G66" i="42"/>
  <c r="H67" i="42"/>
  <c r="G59" i="57" l="1"/>
  <c r="H60" i="57"/>
  <c r="G58" i="54"/>
  <c r="H58" i="54" s="1"/>
  <c r="H59" i="54"/>
  <c r="F77" i="46"/>
  <c r="H77" i="46" s="1"/>
  <c r="H65" i="46"/>
  <c r="F64" i="46"/>
  <c r="E16" i="45"/>
  <c r="G16" i="45" s="1"/>
  <c r="E17" i="45"/>
  <c r="G17" i="45" s="1"/>
  <c r="F59" i="42"/>
  <c r="H62" i="44"/>
  <c r="G61" i="44"/>
  <c r="H61" i="44" s="1"/>
  <c r="H17" i="43"/>
  <c r="H63" i="42"/>
  <c r="G60" i="42"/>
  <c r="H60" i="42" s="1"/>
  <c r="G72" i="42"/>
  <c r="H72" i="42" s="1"/>
  <c r="H73" i="42"/>
  <c r="H74" i="44"/>
  <c r="G73" i="44"/>
  <c r="E63" i="44"/>
  <c r="E60" i="44" s="1"/>
  <c r="G64" i="44"/>
  <c r="F67" i="46" s="1"/>
  <c r="G71" i="44"/>
  <c r="F74" i="46" s="1"/>
  <c r="E70" i="44"/>
  <c r="E68" i="44"/>
  <c r="G69" i="44"/>
  <c r="F72" i="46" s="1"/>
  <c r="F11" i="45"/>
  <c r="F41" i="45"/>
  <c r="H41" i="45" s="1"/>
  <c r="H16" i="43"/>
  <c r="H66" i="42"/>
  <c r="G65" i="42"/>
  <c r="E66" i="44"/>
  <c r="G67" i="44"/>
  <c r="F70" i="46" s="1"/>
  <c r="G58" i="57" l="1"/>
  <c r="H58" i="57" s="1"/>
  <c r="H59" i="57"/>
  <c r="E66" i="49"/>
  <c r="G66" i="49" s="1"/>
  <c r="E66" i="52" s="1"/>
  <c r="E65" i="52" s="1"/>
  <c r="J65" i="46"/>
  <c r="E78" i="49"/>
  <c r="E77" i="49" s="1"/>
  <c r="E76" i="49" s="1"/>
  <c r="J77" i="46"/>
  <c r="H76" i="46"/>
  <c r="H75" i="46" s="1"/>
  <c r="I77" i="46"/>
  <c r="H17" i="45"/>
  <c r="F17" i="47"/>
  <c r="H16" i="45"/>
  <c r="F16" i="47"/>
  <c r="F66" i="46"/>
  <c r="F63" i="46" s="1"/>
  <c r="H67" i="46"/>
  <c r="F69" i="46"/>
  <c r="H70" i="46"/>
  <c r="I65" i="46"/>
  <c r="H64" i="46"/>
  <c r="H72" i="46"/>
  <c r="F71" i="46"/>
  <c r="H74" i="46"/>
  <c r="F73" i="46"/>
  <c r="H73" i="44"/>
  <c r="G72" i="44"/>
  <c r="H72" i="44" s="1"/>
  <c r="H71" i="44"/>
  <c r="G70" i="44"/>
  <c r="H70" i="44" s="1"/>
  <c r="H64" i="44"/>
  <c r="G63" i="44"/>
  <c r="E65" i="44"/>
  <c r="E59" i="44" s="1"/>
  <c r="G68" i="44"/>
  <c r="H68" i="44" s="1"/>
  <c r="H69" i="44"/>
  <c r="G66" i="44"/>
  <c r="H67" i="44"/>
  <c r="H65" i="42"/>
  <c r="G59" i="42"/>
  <c r="H59" i="42" s="1"/>
  <c r="G66" i="52" l="1"/>
  <c r="E65" i="49"/>
  <c r="G78" i="49"/>
  <c r="E78" i="52" s="1"/>
  <c r="I64" i="46"/>
  <c r="J64" i="46"/>
  <c r="E75" i="49"/>
  <c r="E74" i="49" s="1"/>
  <c r="J74" i="46"/>
  <c r="E71" i="49"/>
  <c r="G71" i="49" s="1"/>
  <c r="E71" i="52" s="1"/>
  <c r="J70" i="46"/>
  <c r="I75" i="46"/>
  <c r="J75" i="46"/>
  <c r="E68" i="49"/>
  <c r="G68" i="49" s="1"/>
  <c r="E68" i="52" s="1"/>
  <c r="J67" i="46"/>
  <c r="E73" i="49"/>
  <c r="E72" i="49" s="1"/>
  <c r="J72" i="46"/>
  <c r="I76" i="46"/>
  <c r="J76" i="46"/>
  <c r="H66" i="49"/>
  <c r="G65" i="49"/>
  <c r="H16" i="47"/>
  <c r="H17" i="47"/>
  <c r="H69" i="46"/>
  <c r="J69" i="46" s="1"/>
  <c r="I70" i="46"/>
  <c r="H71" i="46"/>
  <c r="I72" i="46"/>
  <c r="F68" i="46"/>
  <c r="F62" i="46" s="1"/>
  <c r="I67" i="46"/>
  <c r="H66" i="46"/>
  <c r="J66" i="46" s="1"/>
  <c r="I74" i="46"/>
  <c r="H73" i="46"/>
  <c r="H63" i="44"/>
  <c r="G60" i="44"/>
  <c r="H60" i="44" s="1"/>
  <c r="H66" i="44"/>
  <c r="G65" i="44"/>
  <c r="H66" i="52" l="1"/>
  <c r="E66" i="54"/>
  <c r="G65" i="52"/>
  <c r="H65" i="52" s="1"/>
  <c r="J17" i="47"/>
  <c r="J16" i="47"/>
  <c r="G77" i="49"/>
  <c r="H78" i="49"/>
  <c r="G73" i="49"/>
  <c r="E73" i="52" s="1"/>
  <c r="E67" i="49"/>
  <c r="E64" i="49" s="1"/>
  <c r="E70" i="49"/>
  <c r="E69" i="49" s="1"/>
  <c r="G75" i="49"/>
  <c r="E75" i="52" s="1"/>
  <c r="I71" i="46"/>
  <c r="J71" i="46"/>
  <c r="I73" i="46"/>
  <c r="J73" i="46"/>
  <c r="G70" i="49"/>
  <c r="E70" i="52" s="1"/>
  <c r="H71" i="49"/>
  <c r="I17" i="47"/>
  <c r="E17" i="48"/>
  <c r="G17" i="48" s="1"/>
  <c r="E17" i="53" s="1"/>
  <c r="H65" i="49"/>
  <c r="I16" i="47"/>
  <c r="E16" i="48"/>
  <c r="G16" i="48" s="1"/>
  <c r="E16" i="53" s="1"/>
  <c r="G67" i="49"/>
  <c r="H68" i="49"/>
  <c r="I66" i="46"/>
  <c r="H63" i="46"/>
  <c r="J63" i="46" s="1"/>
  <c r="I69" i="46"/>
  <c r="H68" i="46"/>
  <c r="H65" i="44"/>
  <c r="G59" i="44"/>
  <c r="H59" i="44" s="1"/>
  <c r="E65" i="54" l="1"/>
  <c r="G66" i="54"/>
  <c r="H67" i="49"/>
  <c r="E67" i="52"/>
  <c r="E64" i="52" s="1"/>
  <c r="H77" i="49"/>
  <c r="E77" i="52"/>
  <c r="G76" i="49"/>
  <c r="G72" i="49"/>
  <c r="H17" i="48"/>
  <c r="G74" i="49"/>
  <c r="H16" i="48"/>
  <c r="H73" i="49"/>
  <c r="H75" i="49"/>
  <c r="E63" i="49"/>
  <c r="I68" i="46"/>
  <c r="J68" i="46"/>
  <c r="G64" i="49"/>
  <c r="H64" i="49" s="1"/>
  <c r="H70" i="49"/>
  <c r="H62" i="46"/>
  <c r="I63" i="46"/>
  <c r="G34" i="42"/>
  <c r="G33" i="42"/>
  <c r="G66" i="57" l="1"/>
  <c r="E65" i="57"/>
  <c r="H66" i="54"/>
  <c r="G65" i="54"/>
  <c r="H72" i="49"/>
  <c r="E72" i="52"/>
  <c r="H76" i="49"/>
  <c r="E76" i="52"/>
  <c r="H74" i="49"/>
  <c r="E74" i="52"/>
  <c r="G69" i="49"/>
  <c r="I62" i="46"/>
  <c r="J62" i="46"/>
  <c r="E33" i="44"/>
  <c r="G33" i="44" s="1"/>
  <c r="F33" i="46" s="1"/>
  <c r="H33" i="42"/>
  <c r="F31" i="42"/>
  <c r="G32" i="42"/>
  <c r="H34" i="42"/>
  <c r="E34" i="44"/>
  <c r="G34" i="44" s="1"/>
  <c r="F34" i="46" s="1"/>
  <c r="H66" i="57" l="1"/>
  <c r="G65" i="57"/>
  <c r="H65" i="54"/>
  <c r="H69" i="49"/>
  <c r="E69" i="52"/>
  <c r="G63" i="49"/>
  <c r="H63" i="49" s="1"/>
  <c r="H33" i="44"/>
  <c r="H33" i="46"/>
  <c r="J33" i="46" s="1"/>
  <c r="H34" i="44"/>
  <c r="H34" i="46"/>
  <c r="J34" i="46" s="1"/>
  <c r="F37" i="42"/>
  <c r="F30" i="42" s="1"/>
  <c r="G38" i="42"/>
  <c r="G31" i="42"/>
  <c r="H32" i="42"/>
  <c r="E32" i="44"/>
  <c r="H65" i="57" l="1"/>
  <c r="E63" i="52"/>
  <c r="I33" i="46"/>
  <c r="E33" i="49"/>
  <c r="G33" i="49" s="1"/>
  <c r="E33" i="52" s="1"/>
  <c r="G33" i="52" s="1"/>
  <c r="I34" i="46"/>
  <c r="E34" i="49"/>
  <c r="G34" i="49" s="1"/>
  <c r="E34" i="52" s="1"/>
  <c r="G34" i="52" s="1"/>
  <c r="H31" i="42"/>
  <c r="G32" i="44"/>
  <c r="F32" i="46" s="1"/>
  <c r="F31" i="46" s="1"/>
  <c r="F30" i="46" s="1"/>
  <c r="F29" i="46" s="1"/>
  <c r="E31" i="44"/>
  <c r="G37" i="42"/>
  <c r="H37" i="42" s="1"/>
  <c r="E38" i="44"/>
  <c r="H38" i="42"/>
  <c r="F29" i="42"/>
  <c r="F14" i="42" s="1"/>
  <c r="F12" i="42" s="1"/>
  <c r="F11" i="42" s="1"/>
  <c r="F458" i="42" s="1"/>
  <c r="H33" i="52" l="1"/>
  <c r="E33" i="54"/>
  <c r="G33" i="54" s="1"/>
  <c r="H34" i="52"/>
  <c r="E34" i="54"/>
  <c r="G34" i="54" s="1"/>
  <c r="H33" i="49"/>
  <c r="H34" i="49"/>
  <c r="H32" i="46"/>
  <c r="J32" i="46" s="1"/>
  <c r="F14" i="43"/>
  <c r="F12" i="43" s="1"/>
  <c r="G15" i="43"/>
  <c r="G30" i="42"/>
  <c r="E37" i="44"/>
  <c r="E30" i="44" s="1"/>
  <c r="E29" i="44" s="1"/>
  <c r="E14" i="44" s="1"/>
  <c r="E12" i="44" s="1"/>
  <c r="E11" i="44" s="1"/>
  <c r="E459" i="44" s="1"/>
  <c r="G38" i="44"/>
  <c r="F41" i="46" s="1"/>
  <c r="H41" i="46" s="1"/>
  <c r="G31" i="44"/>
  <c r="H32" i="44"/>
  <c r="H34" i="54" l="1"/>
  <c r="G34" i="57"/>
  <c r="H34" i="57" s="1"/>
  <c r="H33" i="54"/>
  <c r="G33" i="57"/>
  <c r="H33" i="57" s="1"/>
  <c r="H31" i="46"/>
  <c r="H30" i="46" s="1"/>
  <c r="H29" i="46" s="1"/>
  <c r="E42" i="49"/>
  <c r="G42" i="49" s="1"/>
  <c r="E42" i="52" s="1"/>
  <c r="J41" i="46"/>
  <c r="I32" i="46"/>
  <c r="E32" i="49"/>
  <c r="F40" i="46"/>
  <c r="E15" i="45"/>
  <c r="G15" i="45" s="1"/>
  <c r="F15" i="47" s="1"/>
  <c r="H15" i="47" s="1"/>
  <c r="G14" i="43"/>
  <c r="H15" i="43"/>
  <c r="G29" i="42"/>
  <c r="H30" i="42"/>
  <c r="H31" i="44"/>
  <c r="G37" i="44"/>
  <c r="H37" i="44" s="1"/>
  <c r="H38" i="44"/>
  <c r="I41" i="46"/>
  <c r="H40" i="46"/>
  <c r="F11" i="43"/>
  <c r="F35" i="43"/>
  <c r="F41" i="43" s="1"/>
  <c r="H41" i="43" s="1"/>
  <c r="E41" i="52" l="1"/>
  <c r="G42" i="52"/>
  <c r="E42" i="54" s="1"/>
  <c r="F14" i="46"/>
  <c r="F12" i="46" s="1"/>
  <c r="F11" i="46" s="1"/>
  <c r="F469" i="46" s="1"/>
  <c r="J31" i="46"/>
  <c r="I31" i="46"/>
  <c r="E41" i="49"/>
  <c r="I40" i="46"/>
  <c r="J40" i="46"/>
  <c r="E15" i="48"/>
  <c r="G15" i="48" s="1"/>
  <c r="E15" i="53" s="1"/>
  <c r="J15" i="47"/>
  <c r="G32" i="49"/>
  <c r="E32" i="52" s="1"/>
  <c r="E31" i="49"/>
  <c r="E30" i="49" s="1"/>
  <c r="E29" i="49" s="1"/>
  <c r="H42" i="49"/>
  <c r="G41" i="49"/>
  <c r="H41" i="49" s="1"/>
  <c r="E14" i="45"/>
  <c r="E12" i="45" s="1"/>
  <c r="E35" i="45" s="1"/>
  <c r="E11" i="45" s="1"/>
  <c r="H14" i="43"/>
  <c r="G12" i="43"/>
  <c r="J30" i="46"/>
  <c r="G14" i="42"/>
  <c r="H29" i="42"/>
  <c r="G30" i="44"/>
  <c r="H15" i="45"/>
  <c r="G14" i="45"/>
  <c r="F14" i="47" s="1"/>
  <c r="F12" i="47" s="1"/>
  <c r="F36" i="47" s="1"/>
  <c r="F11" i="47" s="1"/>
  <c r="I15" i="47"/>
  <c r="H14" i="47"/>
  <c r="J14" i="47" s="1"/>
  <c r="G42" i="54" l="1"/>
  <c r="E41" i="54"/>
  <c r="G32" i="52"/>
  <c r="E32" i="54" s="1"/>
  <c r="E31" i="52"/>
  <c r="H42" i="52"/>
  <c r="G41" i="52"/>
  <c r="H41" i="52" s="1"/>
  <c r="E14" i="53"/>
  <c r="E12" i="53" s="1"/>
  <c r="E11" i="53" s="1"/>
  <c r="E14" i="49"/>
  <c r="E12" i="49" s="1"/>
  <c r="E11" i="49" s="1"/>
  <c r="E461" i="49" s="1"/>
  <c r="E14" i="48"/>
  <c r="G14" i="48"/>
  <c r="H15" i="48"/>
  <c r="H32" i="49"/>
  <c r="G31" i="49"/>
  <c r="G30" i="49" s="1"/>
  <c r="G29" i="49" s="1"/>
  <c r="G11" i="43"/>
  <c r="G35" i="43"/>
  <c r="H35" i="43" s="1"/>
  <c r="H12" i="43"/>
  <c r="G12" i="45"/>
  <c r="H14" i="45"/>
  <c r="G12" i="42"/>
  <c r="H14" i="42"/>
  <c r="H12" i="47"/>
  <c r="J12" i="47" s="1"/>
  <c r="I14" i="47"/>
  <c r="H30" i="44"/>
  <c r="G29" i="44"/>
  <c r="J29" i="46"/>
  <c r="I30" i="46"/>
  <c r="E41" i="57" l="1"/>
  <c r="G42" i="57"/>
  <c r="E30" i="52"/>
  <c r="E29" i="52" s="1"/>
  <c r="E14" i="52" s="1"/>
  <c r="E12" i="52" s="1"/>
  <c r="E11" i="52" s="1"/>
  <c r="G32" i="54"/>
  <c r="E31" i="54"/>
  <c r="E30" i="54" s="1"/>
  <c r="E29" i="54" s="1"/>
  <c r="G41" i="54"/>
  <c r="H41" i="54" s="1"/>
  <c r="H42" i="54"/>
  <c r="H32" i="52"/>
  <c r="G31" i="52"/>
  <c r="G30" i="52" s="1"/>
  <c r="G29" i="52" s="1"/>
  <c r="E36" i="53"/>
  <c r="E12" i="48"/>
  <c r="E11" i="48" s="1"/>
  <c r="H31" i="49"/>
  <c r="H14" i="48"/>
  <c r="G12" i="48"/>
  <c r="G11" i="48" s="1"/>
  <c r="I12" i="47"/>
  <c r="H36" i="47"/>
  <c r="J36" i="47" s="1"/>
  <c r="G11" i="42"/>
  <c r="H12" i="42"/>
  <c r="H14" i="46"/>
  <c r="J14" i="46" s="1"/>
  <c r="I29" i="46"/>
  <c r="H12" i="45"/>
  <c r="G35" i="45"/>
  <c r="H29" i="44"/>
  <c r="G14" i="44"/>
  <c r="K12" i="43"/>
  <c r="H11" i="43"/>
  <c r="E461" i="52" l="1"/>
  <c r="E31" i="57"/>
  <c r="E30" i="57" s="1"/>
  <c r="E29" i="57" s="1"/>
  <c r="G32" i="57"/>
  <c r="H42" i="57"/>
  <c r="G41" i="57"/>
  <c r="H41" i="57" s="1"/>
  <c r="G31" i="54"/>
  <c r="H32" i="54"/>
  <c r="H31" i="52"/>
  <c r="E36" i="48"/>
  <c r="G36" i="48"/>
  <c r="H12" i="48"/>
  <c r="H30" i="49"/>
  <c r="G11" i="45"/>
  <c r="H35" i="45"/>
  <c r="H14" i="44"/>
  <c r="G12" i="44"/>
  <c r="I36" i="47"/>
  <c r="H11" i="47"/>
  <c r="J11" i="47" s="1"/>
  <c r="G458" i="42"/>
  <c r="H458" i="42" s="1"/>
  <c r="H11" i="42"/>
  <c r="I14" i="46"/>
  <c r="H12" i="46"/>
  <c r="J12" i="46" s="1"/>
  <c r="G31" i="57" l="1"/>
  <c r="H32" i="57"/>
  <c r="G30" i="54"/>
  <c r="H31" i="54"/>
  <c r="H30" i="52"/>
  <c r="H29" i="49"/>
  <c r="G14" i="49"/>
  <c r="G12" i="49" s="1"/>
  <c r="H11" i="48"/>
  <c r="H36" i="48"/>
  <c r="G11" i="44"/>
  <c r="H12" i="44"/>
  <c r="H11" i="46"/>
  <c r="J11" i="46" s="1"/>
  <c r="I12" i="46"/>
  <c r="I11" i="47"/>
  <c r="H11" i="45"/>
  <c r="G30" i="57" l="1"/>
  <c r="H31" i="57"/>
  <c r="G29" i="54"/>
  <c r="H30" i="54"/>
  <c r="H29" i="52"/>
  <c r="H14" i="49"/>
  <c r="H469" i="46"/>
  <c r="I11" i="46"/>
  <c r="G459" i="44"/>
  <c r="H459" i="44" s="1"/>
  <c r="H11" i="44"/>
  <c r="H30" i="57" l="1"/>
  <c r="G29" i="57"/>
  <c r="H29" i="54"/>
  <c r="I469" i="46"/>
  <c r="J469" i="46"/>
  <c r="H12" i="49"/>
  <c r="G11" i="49"/>
  <c r="H29" i="57" l="1"/>
  <c r="G461" i="49"/>
  <c r="H461" i="49" s="1"/>
  <c r="H11" i="49"/>
  <c r="G48" i="52" l="1"/>
  <c r="E48" i="54" s="1"/>
  <c r="G49" i="52"/>
  <c r="H49" i="52" l="1"/>
  <c r="E49" i="54"/>
  <c r="G49" i="54" s="1"/>
  <c r="G48" i="54"/>
  <c r="E47" i="54"/>
  <c r="E46" i="54" s="1"/>
  <c r="E45" i="54" s="1"/>
  <c r="H48" i="52"/>
  <c r="G47" i="52"/>
  <c r="F47" i="52"/>
  <c r="F46" i="52" s="1"/>
  <c r="F45" i="52" s="1"/>
  <c r="H49" i="54" l="1"/>
  <c r="G49" i="57"/>
  <c r="H49" i="57" s="1"/>
  <c r="G48" i="57"/>
  <c r="E47" i="57"/>
  <c r="E46" i="57" s="1"/>
  <c r="E45" i="57" s="1"/>
  <c r="H48" i="54"/>
  <c r="G47" i="54"/>
  <c r="F44" i="52"/>
  <c r="G46" i="52"/>
  <c r="H47" i="52"/>
  <c r="G51" i="52"/>
  <c r="H48" i="57" l="1"/>
  <c r="G47" i="57"/>
  <c r="G46" i="54"/>
  <c r="H47" i="54"/>
  <c r="H51" i="52"/>
  <c r="E51" i="54"/>
  <c r="H46" i="52"/>
  <c r="G45" i="52"/>
  <c r="G46" i="57" l="1"/>
  <c r="H47" i="57"/>
  <c r="G51" i="54"/>
  <c r="E44" i="54"/>
  <c r="G45" i="54"/>
  <c r="H46" i="54"/>
  <c r="G44" i="52"/>
  <c r="H45" i="52"/>
  <c r="H51" i="54" l="1"/>
  <c r="H46" i="57"/>
  <c r="G45" i="57"/>
  <c r="H45" i="54"/>
  <c r="G44" i="54"/>
  <c r="H44" i="52"/>
  <c r="H45" i="57" l="1"/>
  <c r="G51" i="57"/>
  <c r="H51" i="57" s="1"/>
  <c r="E44" i="57"/>
  <c r="H44" i="54"/>
  <c r="G44" i="57" l="1"/>
  <c r="H44" i="57" s="1"/>
  <c r="F74" i="52"/>
  <c r="G75" i="52"/>
  <c r="F77" i="52"/>
  <c r="F76" i="52" s="1"/>
  <c r="F17" i="53" s="1"/>
  <c r="G17" i="53" s="1"/>
  <c r="G78" i="52"/>
  <c r="F72" i="52"/>
  <c r="G73" i="52"/>
  <c r="F70" i="52"/>
  <c r="G71" i="52"/>
  <c r="F67" i="52"/>
  <c r="F64" i="52" s="1"/>
  <c r="G68" i="52"/>
  <c r="F69" i="52" l="1"/>
  <c r="F16" i="53" s="1"/>
  <c r="G16" i="53" s="1"/>
  <c r="H16" i="53" s="1"/>
  <c r="H17" i="53"/>
  <c r="E17" i="55"/>
  <c r="G17" i="55" s="1"/>
  <c r="E78" i="54"/>
  <c r="G77" i="52"/>
  <c r="H78" i="52"/>
  <c r="E68" i="54"/>
  <c r="H68" i="52"/>
  <c r="G67" i="52"/>
  <c r="F15" i="53"/>
  <c r="F63" i="52"/>
  <c r="E73" i="54"/>
  <c r="H73" i="52"/>
  <c r="G72" i="52"/>
  <c r="H72" i="52" s="1"/>
  <c r="G74" i="52"/>
  <c r="H74" i="52" s="1"/>
  <c r="H75" i="52"/>
  <c r="E75" i="54"/>
  <c r="E71" i="54"/>
  <c r="H71" i="52"/>
  <c r="G70" i="52"/>
  <c r="F14" i="52" l="1"/>
  <c r="F12" i="52" s="1"/>
  <c r="F11" i="52" s="1"/>
  <c r="F461" i="52" s="1"/>
  <c r="E16" i="55"/>
  <c r="G16" i="55" s="1"/>
  <c r="H16" i="55" s="1"/>
  <c r="H17" i="55"/>
  <c r="G17" i="58"/>
  <c r="H17" i="58" s="1"/>
  <c r="E77" i="54"/>
  <c r="E76" i="54" s="1"/>
  <c r="G78" i="54"/>
  <c r="G78" i="57" s="1"/>
  <c r="H67" i="52"/>
  <c r="G64" i="52"/>
  <c r="H70" i="52"/>
  <c r="G69" i="52"/>
  <c r="H69" i="52" s="1"/>
  <c r="E67" i="54"/>
  <c r="E64" i="54" s="1"/>
  <c r="G68" i="54"/>
  <c r="G68" i="57" s="1"/>
  <c r="E70" i="54"/>
  <c r="G71" i="54"/>
  <c r="G71" i="57" s="1"/>
  <c r="E72" i="54"/>
  <c r="G73" i="54"/>
  <c r="G73" i="57" s="1"/>
  <c r="H77" i="52"/>
  <c r="G76" i="52"/>
  <c r="H76" i="52" s="1"/>
  <c r="G75" i="54"/>
  <c r="G75" i="57" s="1"/>
  <c r="E74" i="54"/>
  <c r="G15" i="53"/>
  <c r="F14" i="53"/>
  <c r="F12" i="53" s="1"/>
  <c r="G16" i="58" l="1"/>
  <c r="H16" i="58" s="1"/>
  <c r="H73" i="57"/>
  <c r="G72" i="57"/>
  <c r="H72" i="57" s="1"/>
  <c r="G67" i="57"/>
  <c r="H68" i="57"/>
  <c r="H75" i="57"/>
  <c r="G74" i="57"/>
  <c r="H74" i="57" s="1"/>
  <c r="G70" i="57"/>
  <c r="H71" i="57"/>
  <c r="G77" i="57"/>
  <c r="H78" i="57"/>
  <c r="H73" i="54"/>
  <c r="G72" i="54"/>
  <c r="H64" i="52"/>
  <c r="G63" i="52"/>
  <c r="H63" i="52" s="1"/>
  <c r="G14" i="52"/>
  <c r="H75" i="54"/>
  <c r="G74" i="54"/>
  <c r="F36" i="53"/>
  <c r="F42" i="53" s="1"/>
  <c r="H42" i="53" s="1"/>
  <c r="F11" i="53"/>
  <c r="G70" i="54"/>
  <c r="E70" i="57" s="1"/>
  <c r="H71" i="54"/>
  <c r="G77" i="54"/>
  <c r="E77" i="57" s="1"/>
  <c r="H78" i="54"/>
  <c r="H68" i="54"/>
  <c r="G67" i="54"/>
  <c r="E67" i="57" s="1"/>
  <c r="E64" i="57" s="1"/>
  <c r="E15" i="55"/>
  <c r="H15" i="53"/>
  <c r="G14" i="53"/>
  <c r="E69" i="54"/>
  <c r="E63" i="54" s="1"/>
  <c r="H72" i="54" l="1"/>
  <c r="E72" i="57"/>
  <c r="H70" i="57"/>
  <c r="G69" i="57"/>
  <c r="H69" i="57" s="1"/>
  <c r="H67" i="57"/>
  <c r="G64" i="57"/>
  <c r="H74" i="54"/>
  <c r="E74" i="57"/>
  <c r="H77" i="57"/>
  <c r="G76" i="57"/>
  <c r="H76" i="57" s="1"/>
  <c r="G15" i="55"/>
  <c r="E14" i="55"/>
  <c r="E12" i="55" s="1"/>
  <c r="G12" i="53"/>
  <c r="H14" i="53"/>
  <c r="H70" i="54"/>
  <c r="G69" i="54"/>
  <c r="G76" i="54"/>
  <c r="H77" i="54"/>
  <c r="H67" i="54"/>
  <c r="G64" i="54"/>
  <c r="H14" i="52"/>
  <c r="G12" i="52"/>
  <c r="E14" i="54"/>
  <c r="E12" i="54" s="1"/>
  <c r="E11" i="54" s="1"/>
  <c r="E461" i="54" l="1"/>
  <c r="H76" i="54"/>
  <c r="E76" i="57"/>
  <c r="H69" i="54"/>
  <c r="E69" i="57"/>
  <c r="G63" i="57"/>
  <c r="H63" i="57" s="1"/>
  <c r="H64" i="57"/>
  <c r="G14" i="57"/>
  <c r="G15" i="58"/>
  <c r="E14" i="58"/>
  <c r="E12" i="58" s="1"/>
  <c r="G11" i="52"/>
  <c r="H12" i="52"/>
  <c r="G36" i="53"/>
  <c r="H36" i="53" s="1"/>
  <c r="H12" i="53"/>
  <c r="G11" i="53"/>
  <c r="H11" i="53" s="1"/>
  <c r="H64" i="54"/>
  <c r="G63" i="54"/>
  <c r="H63" i="54" s="1"/>
  <c r="G14" i="54"/>
  <c r="E36" i="55"/>
  <c r="E11" i="55"/>
  <c r="H15" i="55"/>
  <c r="G14" i="55"/>
  <c r="E63" i="57" l="1"/>
  <c r="E14" i="57"/>
  <c r="E12" i="57" s="1"/>
  <c r="E11" i="57" s="1"/>
  <c r="H14" i="57"/>
  <c r="G12" i="57"/>
  <c r="G11" i="57" s="1"/>
  <c r="E36" i="58"/>
  <c r="E11" i="58"/>
  <c r="G14" i="58"/>
  <c r="H15" i="58"/>
  <c r="H14" i="55"/>
  <c r="G12" i="55"/>
  <c r="H14" i="54"/>
  <c r="G12" i="54"/>
  <c r="G461" i="52"/>
  <c r="H461" i="52" s="1"/>
  <c r="H11" i="52"/>
  <c r="E461" i="57" l="1"/>
  <c r="H12" i="57"/>
  <c r="H14" i="58"/>
  <c r="G12" i="58"/>
  <c r="H12" i="54"/>
  <c r="G11" i="54"/>
  <c r="H12" i="55"/>
  <c r="G36" i="55"/>
  <c r="H36" i="55" s="1"/>
  <c r="G11" i="55"/>
  <c r="H11" i="55" s="1"/>
  <c r="H11" i="57" l="1"/>
  <c r="G461" i="57"/>
  <c r="H461" i="57" s="1"/>
  <c r="H12" i="58"/>
  <c r="G11" i="58"/>
  <c r="H11" i="58" s="1"/>
  <c r="G36" i="58"/>
  <c r="H36" i="58" s="1"/>
  <c r="G461" i="54"/>
  <c r="H461" i="54" s="1"/>
  <c r="H11" i="54"/>
</calcChain>
</file>

<file path=xl/comments1.xml><?xml version="1.0" encoding="utf-8"?>
<comments xmlns="http://schemas.openxmlformats.org/spreadsheetml/2006/main">
  <authors>
    <author>Admin</author>
  </authors>
  <commentList>
    <comment ref="F13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 setoran mayatama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F9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26 april 2022</t>
        </r>
      </text>
    </comment>
    <comment ref="F43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TGL 4 April 2022, SP2D NO 00982 SP2D LS II 2022 Pembayaran Bantuan Keuangan Gaji Guru Bantu Provin                014247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F12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tgl 24 nov 2022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F12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Tgl 14 des 2022</t>
        </r>
      </text>
    </comment>
  </commentList>
</comments>
</file>

<file path=xl/sharedStrings.xml><?xml version="1.0" encoding="utf-8"?>
<sst xmlns="http://schemas.openxmlformats.org/spreadsheetml/2006/main" count="10936" uniqueCount="733">
  <si>
    <t>PEMERINTAH KOTA DUMAI</t>
  </si>
  <si>
    <t>BADAN PENDAPATAN DAERAH</t>
  </si>
  <si>
    <t>No.</t>
  </si>
  <si>
    <t>KODE REKENING</t>
  </si>
  <si>
    <t>U R A I A N</t>
  </si>
  <si>
    <t>TARGET</t>
  </si>
  <si>
    <t>%</t>
  </si>
  <si>
    <t>KETERANGAN</t>
  </si>
  <si>
    <t>4</t>
  </si>
  <si>
    <t>PENDAPATAN DAERAH</t>
  </si>
  <si>
    <t>I</t>
  </si>
  <si>
    <t>4 1</t>
  </si>
  <si>
    <t>PENDAPATAN ASLI DAERAH</t>
  </si>
  <si>
    <t>A</t>
  </si>
  <si>
    <t>4 1 1</t>
  </si>
  <si>
    <t>HASIL PAJAK DAERAH</t>
  </si>
  <si>
    <t>B</t>
  </si>
  <si>
    <t>4 1 2</t>
  </si>
  <si>
    <t>HASIL RETRIBUSI DAERAH</t>
  </si>
  <si>
    <t>1</t>
  </si>
  <si>
    <t>Pajak Hotel</t>
  </si>
  <si>
    <t>Perda No. 8 Tahun 2011 tentang Pajak Hotel dan Perda No. 7 Tahun 2019 tentang Perubahan atas Peraturan Daerah Kota Dumai Nomor 8 Tahun 2011 tentang Pajak Hotel</t>
  </si>
  <si>
    <t>Pajak Restoran</t>
  </si>
  <si>
    <t>Perda No. 12 Tahun 2011</t>
  </si>
  <si>
    <t>Pajak Hiburan</t>
  </si>
  <si>
    <t>Perda No. 7 Tahun 2011 tentang Pajak Hiburan dan Perda No. 6 Tahun 2019 tentang Perubahan atas Peraturan Daerah Kota Dumai Nomor 7 Tahun 2011 tentang Pajak Hiburan</t>
  </si>
  <si>
    <t>Pajak Reklame</t>
  </si>
  <si>
    <t>Perda No. 11 Tahun 2011 tentang Pajak Reklame dan Perda No. 8 Tahun 2019 tentang Perubahan atas Peraturan Daerah Kota Dumai Nomor 11 Tahun 2011 tentang Pajak Reklame</t>
  </si>
  <si>
    <t>Perda No. 10 Tahun 2011 dan Perda No. 4 Tahun 2020 tentang Perubahan Kedua atas Perubahan Daerah Nomor 10 Tahun 2011 tentang Pajak Penerangan Jalan</t>
  </si>
  <si>
    <t>Pajak Mineral Bukan Logam dan Batuan</t>
  </si>
  <si>
    <t xml:space="preserve"> Perda No. 6 Tahun 2011</t>
  </si>
  <si>
    <t>Pajak Parkir</t>
  </si>
  <si>
    <t xml:space="preserve"> Perda No. 5 Tahun 2012 tentang Pajak Parkir dan Perda No. 6 Tahun 2020 tentang Perubahan Peraturan Daerah Nomor 5 Tahun 2012 tentang Pajak Parkir</t>
  </si>
  <si>
    <t>Pajak Air Tanah</t>
  </si>
  <si>
    <t>Perda No. 6 Tahun 2011 tentang Pajak Air Tanah dan Perda No. 5 Tahun 2019 tentang Perubahan Atas Peraturan Daerah Kota Dumai Nomor 6 Tahun 2011 tentang Pajak Air Tanah</t>
  </si>
  <si>
    <t>Pajak Sarang Burung Walet</t>
  </si>
  <si>
    <t>Perda No. 4 Tahun 2012 tentang Pajak Sarang Burung Walet dan Perda No. 5 Tahun 2020 tentang Perubahan atas Peraturan Daerah Nomor 4 Tahun 2012 tentang Pajak Sarang Burung Walet</t>
  </si>
  <si>
    <t xml:space="preserve"> Perda No. 2 Tahun 2012 tentang Pajak Bumi dan Bangunan Pedesaan dan Perkotaan dan Perda No. 10 Tahun 2019 tentang Perubahan atas Peraturan Daerah Kota Dumai Nomor 2 Tahun 2012 tentang Pajak Bumi dan Bangunan Pedesaan dan Perkotaan</t>
  </si>
  <si>
    <t>BPHTB</t>
  </si>
  <si>
    <t>2</t>
  </si>
  <si>
    <t>DINAS PERDAGANGAN</t>
  </si>
  <si>
    <t>Perda No. 21 Tahun 2011</t>
  </si>
  <si>
    <t>~ Retribusi Pelayanan Pasar - Pelataran</t>
  </si>
  <si>
    <t>~ Retribusi Pelayanan Pasar - Los</t>
  </si>
  <si>
    <t>~ Retribusi Pelayanan Pasar - Kios</t>
  </si>
  <si>
    <t>~ Retribusi Pelayanan Pasar - WC/ Kamar Mandi</t>
  </si>
  <si>
    <t>3</t>
  </si>
  <si>
    <t>Perda No. 23 Tahun 2011</t>
  </si>
  <si>
    <t>SEKRETARIAT DAERAH KOTA DUMAI</t>
  </si>
  <si>
    <t>5</t>
  </si>
  <si>
    <t>DINAS LINGKUNGAN HIDUP</t>
  </si>
  <si>
    <t>Retribusi Pelayanan Persampahan/Kebersihan</t>
  </si>
  <si>
    <t>Perda No. 9 Tahun 2012</t>
  </si>
  <si>
    <t>6</t>
  </si>
  <si>
    <t>DINAS PERHUBUNGAN</t>
  </si>
  <si>
    <t>Retribusi Jasa Umum</t>
  </si>
  <si>
    <t>Ret. Pelayanan Parkir di Tepi Jalan Umum</t>
  </si>
  <si>
    <t>Perda No. 5 Tahun 2014</t>
  </si>
  <si>
    <t>Perda No. 6 Tahun 2014</t>
  </si>
  <si>
    <t>Perda No. 24 Tahun 2011</t>
  </si>
  <si>
    <t>Retribusi Perizinan Tertentu</t>
  </si>
  <si>
    <t>Perda No. 11 Tahun 2000</t>
  </si>
  <si>
    <t>7</t>
  </si>
  <si>
    <t>DINAS PERIKANAN</t>
  </si>
  <si>
    <t>Retribusi Penjualan Produksi Usaha Daerah</t>
  </si>
  <si>
    <t>Perda No. 10 Tahun 2014</t>
  </si>
  <si>
    <t>8</t>
  </si>
  <si>
    <t>BADAN PENANAMAN MODAL DAN PELAYANAN TERPADU SATU PINTU</t>
  </si>
  <si>
    <t>Ret. Izin Mendirikan Bangunan (IMB)</t>
  </si>
  <si>
    <t>Perda No. 10 Tahun 2012</t>
  </si>
  <si>
    <t>Ret. Izin Usaha Perdagangan Minuman Beralkohol</t>
  </si>
  <si>
    <t>Perda No. 22 Tahun 2011</t>
  </si>
  <si>
    <t>3.</t>
  </si>
  <si>
    <t>9</t>
  </si>
  <si>
    <t>10</t>
  </si>
  <si>
    <t xml:space="preserve">DINAS KESEHATAN </t>
  </si>
  <si>
    <t xml:space="preserve">BLUD UPT.LAB KESEHATAN DAN PEMERIKSAAN KUALITAS AIR KELAS A </t>
  </si>
  <si>
    <t xml:space="preserve"> PEMERIKSAAN KUALITAS AIR KELAS A </t>
  </si>
  <si>
    <t>Perda No. 20 Tahun 2011</t>
  </si>
  <si>
    <t>-</t>
  </si>
  <si>
    <t>Pemeriksaan Kualitas Air Kelas A</t>
  </si>
  <si>
    <t>11</t>
  </si>
  <si>
    <t>DINAS KETAHANAN PANGAN DAN PERTANIAN</t>
  </si>
  <si>
    <t>Perda No. 08 Tahun 2012</t>
  </si>
  <si>
    <t>DINAS KOMUNIKASI DAN INFORMATIKA</t>
  </si>
  <si>
    <t>Perda No.09 Tahun 2014</t>
  </si>
  <si>
    <t>C</t>
  </si>
  <si>
    <t>Hasil Perusahaan Milik Daerah dan Hasil Pengelolaan Kekayaan Daerah yang dipisahkan</t>
  </si>
  <si>
    <t>Bagian Laba Atas Penyertaan Modal Pada Perusahaan Milik Daerah/BUMD</t>
  </si>
  <si>
    <t>1.</t>
  </si>
  <si>
    <t>PT. Bank Riau</t>
  </si>
  <si>
    <t>2.</t>
  </si>
  <si>
    <t>PT. Pembangunan Dumai</t>
  </si>
  <si>
    <t>SK Wako No. 312/Pereko/2011</t>
  </si>
  <si>
    <t>PT. Pelabuhan Dumai Berseri</t>
  </si>
  <si>
    <t>D</t>
  </si>
  <si>
    <t>Lain-lain Pendapatan Asli Daerah Yang Sah</t>
  </si>
  <si>
    <t>Penerimaan Jasa Giro</t>
  </si>
  <si>
    <t>Pendapatan Bunga</t>
  </si>
  <si>
    <t>4 1 4 07</t>
  </si>
  <si>
    <t xml:space="preserve"> Pendapatan Denda Keterlambatan Pelaksanaan Pekerjaan</t>
  </si>
  <si>
    <t xml:space="preserve"> Pendapatan Denda Pajak</t>
  </si>
  <si>
    <t xml:space="preserve"> Denda Pajak Hotel</t>
  </si>
  <si>
    <t xml:space="preserve"> Denda Pajak Restoran</t>
  </si>
  <si>
    <t xml:space="preserve"> Denda Pajak Hiburan</t>
  </si>
  <si>
    <t xml:space="preserve"> Denda Pajak Reklame</t>
  </si>
  <si>
    <t xml:space="preserve"> Denda Pajak Penerangan Jalan</t>
  </si>
  <si>
    <t xml:space="preserve"> Denda Pajak Parkir</t>
  </si>
  <si>
    <t xml:space="preserve"> Denda Pajak Air Tanah</t>
  </si>
  <si>
    <t xml:space="preserve"> Denda Pajak Sarang Burung Walet</t>
  </si>
  <si>
    <t xml:space="preserve"> Denda PBB</t>
  </si>
  <si>
    <t xml:space="preserve">Pendapatan Denda Retribusi </t>
  </si>
  <si>
    <t>Perwako Nomor 20 Tahun 2010</t>
  </si>
  <si>
    <t>Pendapatan BLUD Rumah Sakit</t>
  </si>
  <si>
    <t>Tanggal 8 Juli 2010</t>
  </si>
  <si>
    <t>1. Pendapatan Pasien Umum</t>
  </si>
  <si>
    <t>~ Pendapatan IGD</t>
  </si>
  <si>
    <t>~ Pendapatan Rawat Jalan</t>
  </si>
  <si>
    <t xml:space="preserve">~ Pendapatan Rawat Inap </t>
  </si>
  <si>
    <t>~ Pendapatan Farmasi (Apotik)</t>
  </si>
  <si>
    <t>~ Pendapatan Ambulance</t>
  </si>
  <si>
    <t>~ Pendapatan Cost Sharing</t>
  </si>
  <si>
    <t>2. Pendapatan Pasien BPJS</t>
  </si>
  <si>
    <t>~ Pendapatan Obat dan BHP CAPD</t>
  </si>
  <si>
    <t>~ Pendapatan Obat Kronis</t>
  </si>
  <si>
    <t>3. Pendapatan Pasien COVID - 19</t>
  </si>
  <si>
    <t>4. Pendapatan Pasien Kerjasama</t>
  </si>
  <si>
    <t>UU JKN No. 24 Tahun 2011</t>
  </si>
  <si>
    <t xml:space="preserve">~ Pendapatan Obat </t>
  </si>
  <si>
    <t>5. Pendapatan Pasien Jamkesko</t>
  </si>
  <si>
    <t>6. Pendapatan Pasien Jampersal</t>
  </si>
  <si>
    <t>7. Pendapatan Pasien Jamkesda Bengkalis</t>
  </si>
  <si>
    <t>8. Pendapatan kerja sama dengan pihak lain</t>
  </si>
  <si>
    <t>~ Sewa Kios RSUD</t>
  </si>
  <si>
    <t>~ Sewa ATM dan Ruangan</t>
  </si>
  <si>
    <t>Surat Perjanjian Sewa Menyewa Tgl 1 okt 2013</t>
  </si>
  <si>
    <t>~ Diklit</t>
  </si>
  <si>
    <t>9. Pendapatan Lain-lain yang sah</t>
  </si>
  <si>
    <t>~ Pendapatan Jasa Giro (Bunga)</t>
  </si>
  <si>
    <t>Perwako Nomor 20 Tahun 2010 Tgl 8 Juli 2010</t>
  </si>
  <si>
    <t>~ Pendapatan Denda Keterlambatan BPJS</t>
  </si>
  <si>
    <t>Permendagri No.61 tahun 2007 tentang</t>
  </si>
  <si>
    <t>Pendapatan BLUD Puskesmas</t>
  </si>
  <si>
    <t>Pedoman Teknis Pengelolaan Badan</t>
  </si>
  <si>
    <t>~ Pendapatan BLUD Puskesmas Dumai  Kota</t>
  </si>
  <si>
    <t>Layanan Umum Daerah</t>
  </si>
  <si>
    <t>~ Pendapatan BLUD Puskesmas Dumai  Barat</t>
  </si>
  <si>
    <t>~ Pendapatan BLUD Puskesmas Bukit Kapur</t>
  </si>
  <si>
    <t>Keputusan Walikota Dumai No.412/</t>
  </si>
  <si>
    <t>~ Pendapatan BLUD Puskesmas  Sungai Sembilan</t>
  </si>
  <si>
    <t>DINKES/2014, ttg  PolaPengelolaan Keuangan</t>
  </si>
  <si>
    <t>~ Pendapatan BLUD Puskesmas  Medang Kampai</t>
  </si>
  <si>
    <t>BLUD pada pusat Kesehatan Masyarakat</t>
  </si>
  <si>
    <t>~ Pendapatan BLUD Puskesmas  Bumi Ayu</t>
  </si>
  <si>
    <t>~ Pendapatan BLUD Puskesmas  Bukit Timah</t>
  </si>
  <si>
    <t>Keputusan Walikota Dumai No.155/DINKES/</t>
  </si>
  <si>
    <t>~ Pendapatan BLUD Puskesmas  Jaya Mukti</t>
  </si>
  <si>
    <t xml:space="preserve">2015, tanggal 16 Maret 2015 tentang </t>
  </si>
  <si>
    <t>~ Pendapatan BLUD Puskesmas  Purnama</t>
  </si>
  <si>
    <t>Peserta Jaminan Kesehatan Nasional Kota</t>
  </si>
  <si>
    <t>~ Pendapatan BLUD Puskesmas Bukit Kayu Kapur</t>
  </si>
  <si>
    <t>Dumai Tahun 2015</t>
  </si>
  <si>
    <t>~ Pendapatan PT. Pelita Air Service ( PT. PAS )</t>
  </si>
  <si>
    <t>II.</t>
  </si>
  <si>
    <t>4 2</t>
  </si>
  <si>
    <t>DANA PERIMBANGAN</t>
  </si>
  <si>
    <t>A.</t>
  </si>
  <si>
    <t>Rincian Alokasi DBH TKDD TA. 2021 hal 3</t>
  </si>
  <si>
    <t>4.</t>
  </si>
  <si>
    <t>B.</t>
  </si>
  <si>
    <t>C.</t>
  </si>
  <si>
    <t>DAK REGULER</t>
  </si>
  <si>
    <t>PENDIDIKAN</t>
  </si>
  <si>
    <t>- PAUD</t>
  </si>
  <si>
    <t>- SD</t>
  </si>
  <si>
    <t>- SMP</t>
  </si>
  <si>
    <t>- Perpustakaan Daerah</t>
  </si>
  <si>
    <t>DAK Bidang Kesehatan dan KB</t>
  </si>
  <si>
    <t>- Pelayanan Dasar</t>
  </si>
  <si>
    <t>- Pelayanan Keafirmasian dan Bahan Habis Pakai</t>
  </si>
  <si>
    <t>- Peningkatan Kesiapan Sistem Kesehatan</t>
  </si>
  <si>
    <t>- Keluarga Berencana ( KB ).</t>
  </si>
  <si>
    <t>DAK Bidang Pertanian</t>
  </si>
  <si>
    <t>- Pertanian</t>
  </si>
  <si>
    <t>DAK Bidang Pariwisata</t>
  </si>
  <si>
    <t>- Penataan Kawasan Pariwisata</t>
  </si>
  <si>
    <t>DAK Bidang Sanitasi</t>
  </si>
  <si>
    <t>- Sanitasi</t>
  </si>
  <si>
    <t>DAK Bidang Air Minum</t>
  </si>
  <si>
    <t>- Air Minum</t>
  </si>
  <si>
    <t>DAK Bidang Keluatan dan Perikanan</t>
  </si>
  <si>
    <t>- Kelautan dan Perikanan</t>
  </si>
  <si>
    <t>DAK Bidang Jalan</t>
  </si>
  <si>
    <t>- Jalan</t>
  </si>
  <si>
    <t>- Transportasi Pedesaan</t>
  </si>
  <si>
    <t>DAK PENUGASAN</t>
  </si>
  <si>
    <t>- Kesehatan (RS Rujukan dan Pratama)</t>
  </si>
  <si>
    <t>- Penguatan Intervensi Stunting</t>
  </si>
  <si>
    <t>- Penurunan Stunting</t>
  </si>
  <si>
    <t>- Peningkatan Pencegahan dan Pengendalian Penyakit</t>
  </si>
  <si>
    <t>- Pengendalian Penyakit</t>
  </si>
  <si>
    <t>- Penguatan Penurunan Angka Kematian Ibu dan Bayi</t>
  </si>
  <si>
    <t>DAK Air Minum</t>
  </si>
  <si>
    <t>DAK Sanitasi</t>
  </si>
  <si>
    <t>DAK Kelautan dan Perikanan</t>
  </si>
  <si>
    <t>DAK Pariwisata</t>
  </si>
  <si>
    <t>DAK Bidang Perumahan dan Pemukiman</t>
  </si>
  <si>
    <t>- DAK Bidang Perumahan dan Pemukiman</t>
  </si>
  <si>
    <t>DAK AFFIRMASI</t>
  </si>
  <si>
    <t>Perumahan dan Pemukiman</t>
  </si>
  <si>
    <t>- Perumahan dan Pemukiman</t>
  </si>
  <si>
    <t>Transportasi Pedesaan</t>
  </si>
  <si>
    <t>AIR MINUM</t>
  </si>
  <si>
    <t>SANITASI</t>
  </si>
  <si>
    <t>Kesehatan</t>
  </si>
  <si>
    <t>- Penguatan Puskesmas DTPK</t>
  </si>
  <si>
    <t>Rincian Alokasi DAK Non Fisik TKDD TA. 2021 Hal. 4</t>
  </si>
  <si>
    <t>Bantuan Operasional Penyelenggaraan PAUD</t>
  </si>
  <si>
    <t>Rincian Alokasi DAK Non Fisik TKDD TA. 2021 Hal. 3</t>
  </si>
  <si>
    <t>Bantuan Operasional Penyelenggaraan Pendidikan Kesetaraan</t>
  </si>
  <si>
    <t>Tunjangan Profesi Guru</t>
  </si>
  <si>
    <t>Tambahan Penghasilan Guru</t>
  </si>
  <si>
    <t>Bantuan Operasional Kesehatan dan Bantuan Operasional KB</t>
  </si>
  <si>
    <t>~ Bantuan Operasional Kesehatan</t>
  </si>
  <si>
    <t>~ Akreditasi Puskesmas</t>
  </si>
  <si>
    <t>Akreditasi Labkesda</t>
  </si>
  <si>
    <t>~ Jaminan Persalinan</t>
  </si>
  <si>
    <t>~ Pengawasan Obat dan Makanan</t>
  </si>
  <si>
    <t>~ Bantuan Operasional Keluarga Berencana</t>
  </si>
  <si>
    <t>Dana Peningkatan Kapasitas Koperasi dan UKM</t>
  </si>
  <si>
    <t>Dana Pelayanan Administrasi Kependudukan</t>
  </si>
  <si>
    <t>Dana Pelayanan Kepariwisataan</t>
  </si>
  <si>
    <t>Dana Pelayanan Perlindungan Perempuan dan Anak</t>
  </si>
  <si>
    <t>Dana Fasilitasi Penanaman Modal</t>
  </si>
  <si>
    <t>Dana Ketahanan Pangan dan Pertanian</t>
  </si>
  <si>
    <t>D.</t>
  </si>
  <si>
    <t>Dana Insentif Daerah (DID)</t>
  </si>
  <si>
    <t>Rincian Alokasi DID TKDD TA. 2021 Hal. 2</t>
  </si>
  <si>
    <t>- Kelompok Kategori Kesehatan Fiskal dan Pengelolaan Keuangan(Kategori Kemandirian Daerah)</t>
  </si>
  <si>
    <t>- Kelompok Kategori Pelayanan Dasar Publik Bidang Kesehatan (Kategori Persentase Baduta Stunting)</t>
  </si>
  <si>
    <t>- Kelompok Kategori Kesejahteraan Masyarakat (Kategori Persentase Penduduk Miskin)</t>
  </si>
  <si>
    <t>III.</t>
  </si>
  <si>
    <t>4 3</t>
  </si>
  <si>
    <t>LAIN-LAIN PENDAPATAN DAERAH YANG SAH</t>
  </si>
  <si>
    <t>Pajak Kendaraan Bermotor ( PKB )</t>
  </si>
  <si>
    <t>Bea Balik Nama Kendaraan Bermotor (BBNKB)</t>
  </si>
  <si>
    <t>Pajak Bahan Bakar Kendaraan Bermotor (PBBKB)</t>
  </si>
  <si>
    <t>Pajak Pengambilan dan Pemanfaatan Air Permukaan</t>
  </si>
  <si>
    <t>DBH Pajak Rokok</t>
  </si>
  <si>
    <t>Total Pendapatan</t>
  </si>
  <si>
    <t>IV.</t>
  </si>
  <si>
    <t>PEMBIAYAAN</t>
  </si>
  <si>
    <t>31</t>
  </si>
  <si>
    <t>Penerimaan Pembiayaan</t>
  </si>
  <si>
    <t>311</t>
  </si>
  <si>
    <t>Sisa Lebih Perhitungan Anggaran Tahun Sebelumnya (SILPA)</t>
  </si>
  <si>
    <t>316</t>
  </si>
  <si>
    <t>Penerimaan Piutang Daerah</t>
  </si>
  <si>
    <t>316 01</t>
  </si>
  <si>
    <t>Penerimaan Piutang dari Pendapatan Daerah</t>
  </si>
  <si>
    <t>316 01 01</t>
  </si>
  <si>
    <t xml:space="preserve">- Penerimaan Piutang Daerah dari Pendapatan Pajak Daerah </t>
  </si>
  <si>
    <t>- Penerimaan Piutang PPJ Non PLN Pertamina</t>
  </si>
  <si>
    <t>Total Pendapatan + Penerimaan Pembiayaan</t>
  </si>
  <si>
    <t>Hasil Pajak Daerah</t>
  </si>
  <si>
    <t>Hasil Retribusi Daerah</t>
  </si>
  <si>
    <t>Hasil Pengelolaan Kekayaan Daerah yang Dipisahkan</t>
  </si>
  <si>
    <t>II</t>
  </si>
  <si>
    <t>PENDAPATAN TRANSFER</t>
  </si>
  <si>
    <t>4 1 01 06</t>
  </si>
  <si>
    <t>4 1 01 07</t>
  </si>
  <si>
    <t>4 1 01 08</t>
  </si>
  <si>
    <t>4 1 01 09</t>
  </si>
  <si>
    <t>4 1 01 11</t>
  </si>
  <si>
    <t>4 1 01 12</t>
  </si>
  <si>
    <t>4 1 01 13</t>
  </si>
  <si>
    <t>4 1 01 14</t>
  </si>
  <si>
    <t>4 1 01 15</t>
  </si>
  <si>
    <t>PBB P2</t>
  </si>
  <si>
    <t>4 1 01 16</t>
  </si>
  <si>
    <t>Retribusi Penediaan Fasilitas Pasar/Pertokoan yang di Kontrakkan</t>
  </si>
  <si>
    <t>5.02.0.00.0.00.02</t>
  </si>
  <si>
    <t>3.30.5.02.0.00.02</t>
  </si>
  <si>
    <t>4.01.5.02.0.00.01</t>
  </si>
  <si>
    <t>4 1 02 02 01</t>
  </si>
  <si>
    <t>4 1 02 02</t>
  </si>
  <si>
    <t>Ret. Pemakaian Kekayaan Daerah  (Bagian Umum Setdako)</t>
  </si>
  <si>
    <t>2.11.5.02.0.00.02</t>
  </si>
  <si>
    <t>4 1 02 01</t>
  </si>
  <si>
    <t>2.15.5.02.0.00.02</t>
  </si>
  <si>
    <t>4 1 02 01 04</t>
  </si>
  <si>
    <t>4 1 02 01 06</t>
  </si>
  <si>
    <t>Retribusi Pengujian Kendaraan Bermotor</t>
  </si>
  <si>
    <t>4 1 02 02 04</t>
  </si>
  <si>
    <t>4 1 02 02 05</t>
  </si>
  <si>
    <t>Retribusi Tempat Khusus Parkir</t>
  </si>
  <si>
    <t>4 1 02 02 08</t>
  </si>
  <si>
    <t>Retribusi Pelayanan Kepelabuhan</t>
  </si>
  <si>
    <t>4 1 02 03</t>
  </si>
  <si>
    <t>4 1 02 03 03</t>
  </si>
  <si>
    <t>Retribusi Izin Trayek untuk Menyediakan Pelayanan Angkutan Umum</t>
  </si>
  <si>
    <t>3.25.0.00.0.00.02</t>
  </si>
  <si>
    <t>4 1 02 02 11</t>
  </si>
  <si>
    <t>2.18.5.02.2.17.02</t>
  </si>
  <si>
    <t>4 1 02 03 01</t>
  </si>
  <si>
    <t>4 1 02 03 02</t>
  </si>
  <si>
    <t>1.02.5.02.0.00.01</t>
  </si>
  <si>
    <t>2.09.3.27.5.02.02</t>
  </si>
  <si>
    <t>4 1 02 02 07</t>
  </si>
  <si>
    <t>Retribusi Rumah Potong Hewan</t>
  </si>
  <si>
    <t>2.16.2.21.2.20.02</t>
  </si>
  <si>
    <t>4 1 02 01 13</t>
  </si>
  <si>
    <t>Retribusi Pengawasan dan Pengendalian Menara Telekomunikasi</t>
  </si>
  <si>
    <t xml:space="preserve"> 4 1 03</t>
  </si>
  <si>
    <t xml:space="preserve"> 4 1 03 02</t>
  </si>
  <si>
    <t xml:space="preserve"> 4 1 04</t>
  </si>
  <si>
    <t>~ Sewa Alat Laboratorium</t>
  </si>
  <si>
    <t>~ Sewa Alat - alat Berat</t>
  </si>
  <si>
    <t xml:space="preserve"> 4 1 04 03 02</t>
  </si>
  <si>
    <t>Hasil Kerjasama Pemanfaatan Barang Milik Daerah</t>
  </si>
  <si>
    <t xml:space="preserve"> 4 1 04 05</t>
  </si>
  <si>
    <t xml:space="preserve"> 4 1 04 07</t>
  </si>
  <si>
    <t xml:space="preserve"> 4 1 04 07 01</t>
  </si>
  <si>
    <t>Pendapatan Bunga atas Penempatan Uang Pemerintah Daerah</t>
  </si>
  <si>
    <t>~ Bunga Deposito di Bank Riau Kepri</t>
  </si>
  <si>
    <t>~ Bunga Deposito di Bank Syariah Mandiri</t>
  </si>
  <si>
    <t>~ Bunga Deposito di Bank BRI</t>
  </si>
  <si>
    <t xml:space="preserve"> 4 1 04 13</t>
  </si>
  <si>
    <t xml:space="preserve"> 4 1 04 12</t>
  </si>
  <si>
    <t xml:space="preserve"> 4 1 04 12 06</t>
  </si>
  <si>
    <t xml:space="preserve"> 4 1 04 12 07</t>
  </si>
  <si>
    <t xml:space="preserve"> 4 1 04 12 08</t>
  </si>
  <si>
    <t xml:space="preserve"> 4 1 04 12 09</t>
  </si>
  <si>
    <t xml:space="preserve"> 4 1 04 12 10</t>
  </si>
  <si>
    <t xml:space="preserve"> 4 1 04 12 11</t>
  </si>
  <si>
    <t xml:space="preserve"> 4 1 04 12 12</t>
  </si>
  <si>
    <t xml:space="preserve"> 4 1 04 12 13</t>
  </si>
  <si>
    <t xml:space="preserve"> 4 1 04 12 15</t>
  </si>
  <si>
    <t xml:space="preserve"> 4 1 04 15</t>
  </si>
  <si>
    <t xml:space="preserve"> Pendapatan dari Pengembalian</t>
  </si>
  <si>
    <t xml:space="preserve"> 4 1 04 16 01</t>
  </si>
  <si>
    <t>Pendapatan BLUD</t>
  </si>
  <si>
    <t xml:space="preserve"> 4 1 04 04</t>
  </si>
  <si>
    <t>Hasil Kerjasama Daerah</t>
  </si>
  <si>
    <t xml:space="preserve"> 4 1 04 04 01</t>
  </si>
  <si>
    <t>4 1 01</t>
  </si>
  <si>
    <t>4 1 02</t>
  </si>
  <si>
    <t>4 1 03</t>
  </si>
  <si>
    <t>4 1 04</t>
  </si>
  <si>
    <t>Hasil Kerjasama Daerah (DISHUB)</t>
  </si>
  <si>
    <t>4 2 01</t>
  </si>
  <si>
    <t>PENDAPATAN TRANSFER PEMERINTAH PUSAT</t>
  </si>
  <si>
    <t>4 2 01 01</t>
  </si>
  <si>
    <t>4 2 01 01 01</t>
  </si>
  <si>
    <t>Dana Transfer Umum - Dana Bagi Hasil ( DBH )</t>
  </si>
  <si>
    <t>4 2 01 01 01 01</t>
  </si>
  <si>
    <t>DBH Pajak Bumi dan Bangunan</t>
  </si>
  <si>
    <t>4 2 01 01 01 02</t>
  </si>
  <si>
    <t>DBH PPh Pasal 21</t>
  </si>
  <si>
    <t>4 2 01 01 01 03</t>
  </si>
  <si>
    <t>DBH PPh Pasal 25 dan Pasal 29 / WPOPDN</t>
  </si>
  <si>
    <t>DBH Sumber Daya Alam ( SDA ) Minyak Bumi</t>
  </si>
  <si>
    <t>4 2 01 01 01 09</t>
  </si>
  <si>
    <t>DBH Sumber Daya Alam ( SDA ) Mineral dan Batu Bara - Royalty</t>
  </si>
  <si>
    <t>4 2 01 01 01 10</t>
  </si>
  <si>
    <t>DBH Sumber Daya Alam ( SDA ) Kehutanan - PSDH</t>
  </si>
  <si>
    <t>4 2 01 01 01 13</t>
  </si>
  <si>
    <t>DBH Sumber Daya Alam ( SDA ) Perikanan</t>
  </si>
  <si>
    <t>4 2 01 01 02</t>
  </si>
  <si>
    <t>Dana Transfer Umum - Dana Alokasi Umum ( DAU ).</t>
  </si>
  <si>
    <t>4 2 01 01 03</t>
  </si>
  <si>
    <t>Dana Transfer Umum - Dana Alokasi Khusus ( DAK ) Fisik</t>
  </si>
  <si>
    <t>- Pelayanan Kesehatan Rujukan</t>
  </si>
  <si>
    <t>4 2 01 01 03 25</t>
  </si>
  <si>
    <t>4 2 01 01 03 40</t>
  </si>
  <si>
    <t>4 2 01 01 03 37</t>
  </si>
  <si>
    <t>4 2 01 01 03 33</t>
  </si>
  <si>
    <t>4 2 01 01 03 07</t>
  </si>
  <si>
    <t>4 2 01 01 03 08</t>
  </si>
  <si>
    <t>4 2 01 01 03 24</t>
  </si>
  <si>
    <t>4 2 01 01 03 28</t>
  </si>
  <si>
    <t>4 2 01 01 03 38</t>
  </si>
  <si>
    <t>4 2 01 01 03 41</t>
  </si>
  <si>
    <t>4 2 01 01 03 47</t>
  </si>
  <si>
    <t>4 2 01 01 04</t>
  </si>
  <si>
    <t>Dana Transfer Umum - Dana Alokasi Khusus ( DAK ) Non Fisik</t>
  </si>
  <si>
    <t>4 2 01 01 04 015</t>
  </si>
  <si>
    <t>4 2 01 01 04 016</t>
  </si>
  <si>
    <t>4 2 01 01 03 17</t>
  </si>
  <si>
    <t>4 2 01 01 03 18</t>
  </si>
  <si>
    <t>- Penguatan Penurunan Angka Kematian Ibu (AKI) dan Angka Kematian Bayi (AKB) RSUD</t>
  </si>
  <si>
    <t>- DAK Air Minum -Tematik Penanggulangan Kemiskinan</t>
  </si>
  <si>
    <t>- DAK Sanitasi - Tematik Penanggulangan Kemiskinan</t>
  </si>
  <si>
    <t>- DAK Bidang Jalan -Tematik Pembangunan Infrasrtuktur Ekonomi Berkelanjutan</t>
  </si>
  <si>
    <t>- DAK Kelautan dan Perikanan</t>
  </si>
  <si>
    <t>- DAK Pariwisata</t>
  </si>
  <si>
    <t>4 2 01 02</t>
  </si>
  <si>
    <t>4 2 01 02 01</t>
  </si>
  <si>
    <t>4 2 02</t>
  </si>
  <si>
    <t>PENDAPATAN TRANSFER ANTAR DAERAH</t>
  </si>
  <si>
    <t>4 2 02 01</t>
  </si>
  <si>
    <t>PENDAPATAN BAGI HASIL</t>
  </si>
  <si>
    <t>4 2 02 01 01</t>
  </si>
  <si>
    <t>Pendapatan Bagi Hasil</t>
  </si>
  <si>
    <t>5.</t>
  </si>
  <si>
    <t>4 2 01 01 01 05</t>
  </si>
  <si>
    <t>i.</t>
  </si>
  <si>
    <t>ii</t>
  </si>
  <si>
    <t>iii</t>
  </si>
  <si>
    <t>iv</t>
  </si>
  <si>
    <t>v</t>
  </si>
  <si>
    <t>vi</t>
  </si>
  <si>
    <t>vii</t>
  </si>
  <si>
    <t>a.</t>
  </si>
  <si>
    <t>b.</t>
  </si>
  <si>
    <t>c.</t>
  </si>
  <si>
    <t>AA.</t>
  </si>
  <si>
    <t>AB</t>
  </si>
  <si>
    <t>4 3 03</t>
  </si>
  <si>
    <t>Lain-lain Pendapatan Sesuai dengan Ketentuan Peraturan Perundang-undangan</t>
  </si>
  <si>
    <t>4 3 03 01</t>
  </si>
  <si>
    <t>Lain-lain Pendapatan.</t>
  </si>
  <si>
    <t>4 3 03 01 01</t>
  </si>
  <si>
    <t>Pendapatan Hibah  Dana BOS</t>
  </si>
  <si>
    <t>4 3 03 01 01 001</t>
  </si>
  <si>
    <t>4 2 02 02</t>
  </si>
  <si>
    <t>I.</t>
  </si>
  <si>
    <t>Bantuan Keuangan</t>
  </si>
  <si>
    <t>BANTUAN KEUANGAN</t>
  </si>
  <si>
    <t>4 2 02 02 01</t>
  </si>
  <si>
    <t>BANTUAN KEUANGAN UMUM DARI PEMERINTAH PROVINSI</t>
  </si>
  <si>
    <t>4 2 02 02 01 001</t>
  </si>
  <si>
    <t>Bantuan Keuangan Umum dari Pemerintah Provinsi</t>
  </si>
  <si>
    <t>4 2 02 02 02</t>
  </si>
  <si>
    <t>BANTUAN KEUANGAN KHUSUS DARI PEMERINTAH PROVINSI</t>
  </si>
  <si>
    <t>Dana Perimbangan</t>
  </si>
  <si>
    <t>Dana Transfer Umum - DAU</t>
  </si>
  <si>
    <t>Dana Transfer Umum - DAK Phisik</t>
  </si>
  <si>
    <t>Dana Transfer Umum - DAK Non Phisik</t>
  </si>
  <si>
    <t>DANA INSENTIF DAERAH ( DID )</t>
  </si>
  <si>
    <t>AB.</t>
  </si>
  <si>
    <t>Lain-lain Pendapatan Sesuai Dengan Ketentuan Peraturan Perundang-undangan</t>
  </si>
  <si>
    <t>Lain-lain Pendapatan</t>
  </si>
  <si>
    <t>PENDAPATAN ASLI DAERAH ( PAD )</t>
  </si>
  <si>
    <t>Retribusi Jasa Usaha</t>
  </si>
  <si>
    <t>Bantuan Keuangan Khusus dari Pemerintah Provinsi</t>
  </si>
  <si>
    <t>4 1 4 11</t>
  </si>
  <si>
    <t>Fasilitas Sosial dan fasilitas Umum</t>
  </si>
  <si>
    <t>4 1 4 11 02</t>
  </si>
  <si>
    <t>Fasilitas Umum</t>
  </si>
  <si>
    <t>- Royalti PT. Ramayana</t>
  </si>
  <si>
    <t>- Royalti Pantai Teluk Makmur (Pariwisata)</t>
  </si>
  <si>
    <t>12</t>
  </si>
  <si>
    <t>- PBB bagian Pemerintah pusat yang dibagikan kepada seluruh Kab/Kota</t>
  </si>
  <si>
    <t>- DBH PBB bagian Prov dan Kab/Kota Sektor Perkebunan</t>
  </si>
  <si>
    <t>- DBH PBB bagian Prov dan Kab/Kota Sektor Perhutanan</t>
  </si>
  <si>
    <t>- DBH PBB bagian Prov dan Kab/Kota Sektor Migas</t>
  </si>
  <si>
    <t>- DBH PBB bagian Prov dan Kab/Kota Lainnya</t>
  </si>
  <si>
    <t>- BP PBB Sektor Perkebunan</t>
  </si>
  <si>
    <t>- BP PBB Sektor Perhutanan</t>
  </si>
  <si>
    <t>- BP PBB Migas</t>
  </si>
  <si>
    <t>- BP PBB Lainnya</t>
  </si>
  <si>
    <t>4 2 01 01 01 06</t>
  </si>
  <si>
    <t>DBH Sumber Daya Alam ( SDA ) Gas Bumi</t>
  </si>
  <si>
    <t>viii</t>
  </si>
  <si>
    <t>ix</t>
  </si>
  <si>
    <t>4 2 01 01 01 12</t>
  </si>
  <si>
    <t>DBH Sumber Daya Alam ( SDA ) Kehutanan - Dana Reboisasi ( DR )</t>
  </si>
  <si>
    <t>Rincian Alokasi DAU TKDD TA. 2021 hal 2</t>
  </si>
  <si>
    <t>Rincian Alokasi DAK Fisik TKDD TA. 2021 hal 6</t>
  </si>
  <si>
    <t>Rincian Alokasi DAK Fisik TKDD TA. 2021 hal 5</t>
  </si>
  <si>
    <t>Rincian Alokasi DAK Fisik TKDD TA. 2021 hal 4</t>
  </si>
  <si>
    <t>JUMLAH PENDAPATAN DAERAH</t>
  </si>
  <si>
    <t xml:space="preserve">4 </t>
  </si>
  <si>
    <t xml:space="preserve"> Perda No. 5 Tahun 2011</t>
  </si>
  <si>
    <t>REALISASI</t>
  </si>
  <si>
    <t>BULAN LALU</t>
  </si>
  <si>
    <t>BULAN INI</t>
  </si>
  <si>
    <t>S.D BULAN INI</t>
  </si>
  <si>
    <t>BULAN JANUARI</t>
  </si>
  <si>
    <t xml:space="preserve">BADAN PENDAPATAN DAERAH </t>
  </si>
  <si>
    <t>JL. HR SOEBRANTAS NO. 135  DUMAI</t>
  </si>
  <si>
    <t xml:space="preserve"> Denda Pajak Mineral Bukan Logam dan Batuan</t>
  </si>
  <si>
    <t xml:space="preserve"> Denda BPHTB</t>
  </si>
  <si>
    <t xml:space="preserve"> 4 1 04 12 14</t>
  </si>
  <si>
    <t xml:space="preserve"> 4 1 04 12 16</t>
  </si>
  <si>
    <t>TARGET DAN REALISASI PENDAPATAN DAERAH KOTA DUMAI</t>
  </si>
  <si>
    <t>- Kurang Bayar DBH Dana Reboisasi Tahun 2019</t>
  </si>
  <si>
    <t>4 1 02 01 05</t>
  </si>
  <si>
    <t>4 1 02 01 05 0001</t>
  </si>
  <si>
    <t>4 1 02 01 05 0002</t>
  </si>
  <si>
    <t>4 1 02 01 05 0003</t>
  </si>
  <si>
    <t>4 1 02 01 11</t>
  </si>
  <si>
    <t>4 1 02 01 11 0001</t>
  </si>
  <si>
    <t>Retribusi Pelayanan Tera/Tera Ulang</t>
  </si>
  <si>
    <t>Retribusi Pelayanan Penggujian Alat-alat ukur, Takar, Timbangan san Perlengkapannya</t>
  </si>
  <si>
    <t>4 1 02 02 01 0005</t>
  </si>
  <si>
    <t>Retribusi Pemakaian Ruangan</t>
  </si>
  <si>
    <t>4 1 02 01 02 0001</t>
  </si>
  <si>
    <t xml:space="preserve">4 1 02 01 02 </t>
  </si>
  <si>
    <t>4 1 02 01 04 0001</t>
  </si>
  <si>
    <t>4 1 02 01 06 0001</t>
  </si>
  <si>
    <t>Retribusi Terminal</t>
  </si>
  <si>
    <t>4 1 02 02 04 0002</t>
  </si>
  <si>
    <t>Retribusi Pelayanan Penyediaan Tempat Kegiatan Usaha</t>
  </si>
  <si>
    <t>4 1 02 02 05 0001</t>
  </si>
  <si>
    <t>4 1 02 02 08 0001</t>
  </si>
  <si>
    <t>4 1 02 03 03 0001</t>
  </si>
  <si>
    <t>4 1 02 02 11 0003</t>
  </si>
  <si>
    <t>Retribusi Penjualan Produksi Usaha Daerah berupa Bibit atau Benih Ikan</t>
  </si>
  <si>
    <t>4 1 02 03 01 0001</t>
  </si>
  <si>
    <t>4 1 02 03 02 0001</t>
  </si>
  <si>
    <t>4 1 02 02 07 0001</t>
  </si>
  <si>
    <t>4 1 02 01 13 0001</t>
  </si>
  <si>
    <t xml:space="preserve"> 4 1 04 05 01 0001</t>
  </si>
  <si>
    <t>Jasa Giro pada Kas Daerah</t>
  </si>
  <si>
    <t>Jasa Giro pada Kas di Bendahara</t>
  </si>
  <si>
    <t xml:space="preserve"> 4 1 04 05 02 0001</t>
  </si>
  <si>
    <t xml:space="preserve"> 4 1 04 07 01 0001</t>
  </si>
  <si>
    <t>b. Kurang Bayar DBH PBB :</t>
  </si>
  <si>
    <t xml:space="preserve">- Kurang Bayar DBH PBB Bagian Daerah - Perkebunan Tahun 2019 </t>
  </si>
  <si>
    <t>- Kurang Bayar DBH PBB Bagi Rata Tahun 2019</t>
  </si>
  <si>
    <t>- Kurang Bayar DBH PBB Bagian Daerah - Perhutanan Tahun 2019</t>
  </si>
  <si>
    <t>- Kurang Bayar DBH PBB Bagian Daerah - Sektor Lainnya Tahun 2019</t>
  </si>
  <si>
    <t>- Kurang Bayar DBH PBB Biaya pemungutan - Sektor Perkebunan Tahun 2019</t>
  </si>
  <si>
    <t>- Kurang Bayar DBH PBB Biaya pemungutan - Sektor Kehutanan Tahun 2019</t>
  </si>
  <si>
    <t>- Kurang Bayar DBH PBB Biaya pemungutan - Sektor Lainnya Tahun 2019</t>
  </si>
  <si>
    <t>- Kurang Bayar DBH PBB Sektor Pertambangan Migas Tahun 2019 - Bagian Daerah</t>
  </si>
  <si>
    <t>- Kurang Bayar DBH PBB Sektor Pertambangan Migas Tahun 2019 - Bagian Pemungutan</t>
  </si>
  <si>
    <t>b. Kurang Bayar DBH PSDH :</t>
  </si>
  <si>
    <t>b. Kurang Bayar DBH SDA Perikanan :</t>
  </si>
  <si>
    <t>4 2 01 01 03 0001</t>
  </si>
  <si>
    <t>4 2 01 01 03 0002</t>
  </si>
  <si>
    <t>4 2 01 01 03 0003</t>
  </si>
  <si>
    <t>4 2 01 01 03 0011</t>
  </si>
  <si>
    <t>4 2 01 01 03 0013</t>
  </si>
  <si>
    <t>4 2 01 01 03 0014</t>
  </si>
  <si>
    <t>4 2 01 01 03 0015</t>
  </si>
  <si>
    <t>4 2 01 01 03 0052</t>
  </si>
  <si>
    <t>4 2 01 01 03 0034</t>
  </si>
  <si>
    <t>4 2 01 01 03 0054</t>
  </si>
  <si>
    <t>4 2 01 01 03 0016</t>
  </si>
  <si>
    <t>4 2 01 01 03 0039</t>
  </si>
  <si>
    <t>4 2 01 01 03 0042</t>
  </si>
  <si>
    <t>4 2 01 01 03 0035</t>
  </si>
  <si>
    <t>4 2 01 01 03 0032</t>
  </si>
  <si>
    <t>4 2 01 01 03 0056</t>
  </si>
  <si>
    <t>4 2 01 01 04 0007</t>
  </si>
  <si>
    <t>4 2 01 01 04 0008</t>
  </si>
  <si>
    <t>4 2 01 01 04 0004</t>
  </si>
  <si>
    <t>4 2 01 01 04 0005</t>
  </si>
  <si>
    <t>4 2 01 01 04 0011</t>
  </si>
  <si>
    <t>4 2 01 01 04 0012</t>
  </si>
  <si>
    <t>4 2 01 01 04 0013</t>
  </si>
  <si>
    <t>4 2 01 01 04 0014</t>
  </si>
  <si>
    <t>4 2 01 01 04 0017</t>
  </si>
  <si>
    <t>4 2 01 01 04 0018</t>
  </si>
  <si>
    <t>4 2 01 01 04 0022</t>
  </si>
  <si>
    <t>4 2 01 01 04 0020</t>
  </si>
  <si>
    <t>4 2 01 01 04 0023</t>
  </si>
  <si>
    <t>4 2 01 02 01 0001</t>
  </si>
  <si>
    <t>4 2 02 01 01 0001</t>
  </si>
  <si>
    <t>4 2 02 01 01 0002</t>
  </si>
  <si>
    <t>4 2 02 01 01 0003</t>
  </si>
  <si>
    <t>4 2 02 01 01 0004</t>
  </si>
  <si>
    <t>4 2 02 01 01 0005</t>
  </si>
  <si>
    <t>4 2 02 02 02 0001</t>
  </si>
  <si>
    <t>- Alokasi Sementara KB DBH PBB TA.2020 - Bagi Rata</t>
  </si>
  <si>
    <t>- Alokasi Sementara KB DBH PBB TA.2020 - Bagian Daerah Sektor Perkebunan</t>
  </si>
  <si>
    <t>- Alokasi Sementara KB DBH PBB TA.2020 - Bagian Daerah Sektor Kehutanan</t>
  </si>
  <si>
    <t>- Alokasi Sementara KB DBH PBB TA.2020 - Bagian Daerah Sektor Pertambangan Migas</t>
  </si>
  <si>
    <t>- Alokasi Sementara KB DBH PBB TA.2020 - Bagian Daerah Sektor Lainnya</t>
  </si>
  <si>
    <t>- Alokasi Sementara KB DBH PBB TA.2020 - Biaya Pemungutan Sektor Perkebunan</t>
  </si>
  <si>
    <t>- Alokasi Sementara KB DBH PBB TA.2020 - Biaya Pemungutan Sektor Kehutanan</t>
  </si>
  <si>
    <t>- Alokasi Sementara KB DBH PBB TA.2020 - Biaya Pemungutan Sektor Pertambangan Migas</t>
  </si>
  <si>
    <t>- Alokasi Sementara KB DBH PBB TA.2020 - Biaya Pemungutan Sektor Lainnya</t>
  </si>
  <si>
    <t>NIP. 19780710 199711 1 001</t>
  </si>
  <si>
    <t>Pembina Tk. I</t>
  </si>
  <si>
    <t>~ Bunga Deposito di Bank BNI</t>
  </si>
  <si>
    <t>FAHMI RIZAL, S.STP., M.Si.</t>
  </si>
  <si>
    <t>s</t>
  </si>
  <si>
    <t>Hasil Penjualan Bangunan Gedung</t>
  </si>
  <si>
    <t>7=5+6</t>
  </si>
  <si>
    <t>8=7/4</t>
  </si>
  <si>
    <t xml:space="preserve"> 4 1 04 01 01 0002</t>
  </si>
  <si>
    <t>Hasil Penjualan Alat Angkutan</t>
  </si>
  <si>
    <t>~ Hasil Lelang Kendaraan Dinas PEMKO Dumai</t>
  </si>
  <si>
    <t xml:space="preserve"> 4 1 04 01</t>
  </si>
  <si>
    <t xml:space="preserve"> 4 1 04 01 01</t>
  </si>
  <si>
    <t>Hasil Penjualan BMD yang Tidak Dipisahkan</t>
  </si>
  <si>
    <t xml:space="preserve"> 4 1 04 01 03 </t>
  </si>
  <si>
    <t>13</t>
  </si>
  <si>
    <t>1.03.0.00.0.00.01</t>
  </si>
  <si>
    <t>4 1 02 02 01 0007</t>
  </si>
  <si>
    <t>DINAS PEKERJAAN UMUM DAN PENATAAN RUANG (PUPR)</t>
  </si>
  <si>
    <t xml:space="preserve">Ret. Pemakaian Kekayaan Daerah </t>
  </si>
  <si>
    <t xml:space="preserve"> 4 1 04 15 03</t>
  </si>
  <si>
    <t xml:space="preserve"> 4 1 04 15 03 0001</t>
  </si>
  <si>
    <t>Pendapatan dari Pengembalian Kelebihan Pembayaran Gaji dan Tunjangan</t>
  </si>
  <si>
    <t xml:space="preserve"> 4 1 04 15 04</t>
  </si>
  <si>
    <t xml:space="preserve"> 4 1 04 15 04 0001</t>
  </si>
  <si>
    <t>Pendapatan dari Pengembalian Kelebihan Pembayaran Perjalanan Dinas</t>
  </si>
  <si>
    <t>- Gaji Guru Bantu (Rp. 2.000.000,- x 12 Bulan x 304 Orang )</t>
  </si>
  <si>
    <t>- Bantuan Kecamatan (Rp. 100.000.000,- x 7 Kecamatan )</t>
  </si>
  <si>
    <t>- Bantuan Rumah Layak Huni. Terdiri dari :</t>
  </si>
  <si>
    <t xml:space="preserve">    'a.  Rumah Layak Huni (Rp. 65.0000.000,- x 85 Rumah)</t>
  </si>
  <si>
    <t xml:space="preserve">    'b.  Konsultasi Manajemen Konstruksi</t>
  </si>
  <si>
    <t>1. SD (31.742 siswa x Rp. 910.000,-)</t>
  </si>
  <si>
    <t>2. SMP (10.227 siswa x Rp. 1.120.000,-)</t>
  </si>
  <si>
    <t>3. BOS Kinerja SD, teridri dari :</t>
  </si>
  <si>
    <t xml:space="preserve">     'a. SDN 007 Bagan Besar sebesar Rp. 70.000.000,.</t>
  </si>
  <si>
    <t xml:space="preserve">     'b. SDN 026 Sukajadi sebesar Rp. 70.000.000,.</t>
  </si>
  <si>
    <t xml:space="preserve">     'c. SDN 010 Jayamukti sebesar Rp. 70.000.000,.</t>
  </si>
  <si>
    <t xml:space="preserve">     'd. SDN 025 Teluk Binjai sebesar Rp. 70.000.000,.</t>
  </si>
  <si>
    <t>4. BOS Kinerja SMP, teridri dari :</t>
  </si>
  <si>
    <t xml:space="preserve">     'b. SMPN 21 Dumai sebesar Rp. 100.000.000,.</t>
  </si>
  <si>
    <t xml:space="preserve">     'a. SMPN 6 Dumai sebesar Rp. 100.000.000,.</t>
  </si>
  <si>
    <t xml:space="preserve">     'c. SMPN 2 Dumai sebesar Rp. 60.000.000,.( Sekolah Kinerja yang memiliki Mutu)</t>
  </si>
  <si>
    <t>4 3 03 01 02</t>
  </si>
  <si>
    <t>4 3 03 01 02 0005</t>
  </si>
  <si>
    <t>Pendapatan atas Pengembalian Hibah</t>
  </si>
  <si>
    <t>Pendapatan atas pengembalian Hibah pada Badan, Lembaga dan Organisasi Kemasyarakatan yang berbadan Hukum Indonesia</t>
  </si>
  <si>
    <t>- Bangunan Gedung</t>
  </si>
  <si>
    <t xml:space="preserve"> 4 1 04 09</t>
  </si>
  <si>
    <t xml:space="preserve"> 4 1 04 09 01</t>
  </si>
  <si>
    <t xml:space="preserve"> 4 1 04 09 01 0001</t>
  </si>
  <si>
    <t>Penerimaan Komisi, Potongn, atau Bentuk Lain</t>
  </si>
  <si>
    <t>14</t>
  </si>
  <si>
    <t>Notes : Kondisi belum rekon</t>
  </si>
  <si>
    <t>cek s.d nya soalnya manual</t>
  </si>
  <si>
    <t>Kepala Bapenda Kota Dumai,</t>
  </si>
  <si>
    <t>PADA APBD TAHUN ANGGARAN 2022</t>
  </si>
  <si>
    <t>APBD 2022</t>
  </si>
  <si>
    <t>a. DBH Pajak Bumi dan Bangunan Tahun 2022</t>
  </si>
  <si>
    <t>4 2 01 01 04 0001</t>
  </si>
  <si>
    <t>BOS Reguler</t>
  </si>
  <si>
    <t>Bantuan Operasional Sekolah (BOS) Reguler</t>
  </si>
  <si>
    <t>4 2 01 01 04 0003</t>
  </si>
  <si>
    <t>BOS Kinerja</t>
  </si>
  <si>
    <t>Bantuan Operasional Sekolah (BOS) Kinerja</t>
  </si>
  <si>
    <t>Dumai, 31 Januari 2022</t>
  </si>
  <si>
    <t>Dumai,    Januari 2022</t>
  </si>
  <si>
    <t>BULAN FEBRUARI</t>
  </si>
  <si>
    <t>Dumai,    Februari 2022</t>
  </si>
  <si>
    <t>BULAN MARET</t>
  </si>
  <si>
    <t>Dumai,    Maret 2022</t>
  </si>
  <si>
    <t>BULAN  MARET</t>
  </si>
  <si>
    <t>BULAN APRIL</t>
  </si>
  <si>
    <t>Dumai,    April 2022</t>
  </si>
  <si>
    <t>BULAN  APRIL</t>
  </si>
  <si>
    <t>- Alokasi DBH PPh. Pasal 21 Tahun 2022</t>
  </si>
  <si>
    <t>- Alokasi Sementara Kurang Bayar DBH PPh. Pasal 21 TA.2021</t>
  </si>
  <si>
    <t>- Alokasi DBH PPh. Pasal 25/29 Tahun 2022</t>
  </si>
  <si>
    <t>- Alokasi Sementara Kurang Bayar DBH PPh. Pasal 25/29 TA.2021</t>
  </si>
  <si>
    <t>- Alokasi DBH SDA Minyak Bumi Tahun 2022</t>
  </si>
  <si>
    <t>- Alokasi Sementara Kurang Bayar SDA Minyak Bumi TA.2021</t>
  </si>
  <si>
    <t>~ Alokasi DBH SDA Gas Bumi Tahun 2022</t>
  </si>
  <si>
    <t>~ Alokasi Sementara Kurang Bayar SDA Gas Bumi Tahun 2021</t>
  </si>
  <si>
    <t>- Penerimaan dari Pertambangan Umum ( Royalty) Tahun 2022</t>
  </si>
  <si>
    <t>- Alokasi Sementara KB Penerimaan SDA Minerba Batu Bara TA.2021-Royalty</t>
  </si>
  <si>
    <t>a. DBH Sumber Daya Alam ( SDA ) Kehutanan - PSDH Tahun 2022</t>
  </si>
  <si>
    <t>- Alokasi Sementara Kurang Bayar SDA Kehutanan TA. 2021 - PSDH</t>
  </si>
  <si>
    <t>a. DBH Sumber Daya Alam ( SDA ) Perikanan Tahun 2022</t>
  </si>
  <si>
    <t>- Alokasi  Sementara Kurang Bayar SDA Perikanan Tahun 2021</t>
  </si>
  <si>
    <t>- Kurang Bayar PKB 2021</t>
  </si>
  <si>
    <t>- Kurang Bayar BBNKB 2021</t>
  </si>
  <si>
    <t>- Kurang Bayar PBBKB 2021</t>
  </si>
  <si>
    <t>- Kurang Bayar Pengambilan dan Pemanfaatan Air Permukaan 2021</t>
  </si>
  <si>
    <t>- Kurang Bayar DBH Pajak Rokok 2021</t>
  </si>
  <si>
    <t>Dumai, 25 Februari 2022</t>
  </si>
  <si>
    <t>- Sewa Bangunan/ lahan</t>
  </si>
  <si>
    <t xml:space="preserve"> </t>
  </si>
  <si>
    <t>BULAN MEI</t>
  </si>
  <si>
    <t>BULAN  MEI</t>
  </si>
  <si>
    <t>Dumai,    Mei 2022</t>
  </si>
  <si>
    <t>Dumai, 31 Maret 2022</t>
  </si>
  <si>
    <t xml:space="preserve">4 1 01 10 </t>
  </si>
  <si>
    <t xml:space="preserve">Pajak Penerangan Jalan </t>
  </si>
  <si>
    <t>BULAN JUNI</t>
  </si>
  <si>
    <t>Dumai,    Juni 2022</t>
  </si>
  <si>
    <t>Dumai, 28 April 2022</t>
  </si>
  <si>
    <t>BULAN  JUNI</t>
  </si>
  <si>
    <t>DINAS KOMUNIKAS, INFORMATIKA, STATISTIK DAN PERSANDIAN</t>
  </si>
  <si>
    <t>Dumai, 31 Mei 2022</t>
  </si>
  <si>
    <t>- SKB</t>
  </si>
  <si>
    <t>BULAN JULI</t>
  </si>
  <si>
    <t>BULAN  JULI</t>
  </si>
  <si>
    <t>~ Bunga Deposito di Bank Mandiri</t>
  </si>
  <si>
    <t>DBH Cukai Hasil Tembakau (CHT)</t>
  </si>
  <si>
    <t>BULAN AGUSTUS</t>
  </si>
  <si>
    <t>BULAN  AGUSTUS</t>
  </si>
  <si>
    <t>Dumai, 30 Juni 2022</t>
  </si>
  <si>
    <t>Retribusi Persetujuan Bangunan Gedung</t>
  </si>
  <si>
    <t>Dumai, 29 Juli 2022</t>
  </si>
  <si>
    <t>BULAN SEPTEMBER</t>
  </si>
  <si>
    <t>BULAN  SEPTEMBER</t>
  </si>
  <si>
    <t>Dumai,     September 2022</t>
  </si>
  <si>
    <t>APBD-P 2022</t>
  </si>
  <si>
    <t>APBD</t>
  </si>
  <si>
    <t>APBD-P</t>
  </si>
  <si>
    <t>ABPD</t>
  </si>
  <si>
    <t>ABPD-P</t>
  </si>
  <si>
    <t>Dumai, 31 Agustus 2022</t>
  </si>
  <si>
    <t>Dumai,  31 Agustus 2022</t>
  </si>
  <si>
    <t>BULAN OKTOBER</t>
  </si>
  <si>
    <t>BULAN  OKTOBER</t>
  </si>
  <si>
    <t>- Penguatan Penuruan Angka Kematian ibu dan anak, PP Penurunan Stunting, Pengendalian Penyakit</t>
  </si>
  <si>
    <t>- Kurang Bayar DBH PBB Bagi Rata Tahun 2021</t>
  </si>
  <si>
    <t>- Kurang Bayar DBH PBB Bagian Daerah - Perkebunan Tahun 2021</t>
  </si>
  <si>
    <t>- Kurang Bayar DBH PBB Bagian Daerah - Sektor Lainnya Tahun 2021</t>
  </si>
  <si>
    <t>- Kurang Bayar DBH PBB Bagian Daerah - Perhutanan Tahun 2021</t>
  </si>
  <si>
    <t>- Kurang Bayar DBH PBB Biaya pemungutan - Sektor Perkebunan Tahun 2021</t>
  </si>
  <si>
    <t>- Kurang Bayar DBH PBB Biaya pemungutan - Sektor Kehutanan Tahun 2021</t>
  </si>
  <si>
    <t>- Kurang Bayar DBH PBB Biaya pemungutan - Sektor Lainnya Tahun 2021</t>
  </si>
  <si>
    <t>- Kurang Bayar DBH PBB Sektor Pertambangan Migas Tahun 2021 - Bagian Daerah</t>
  </si>
  <si>
    <t>- Kurang Bayar DBH PBB Sektor Pertambangan Migas Tahun 2021 - Bagian Pemungutan</t>
  </si>
  <si>
    <t>- Kurang Bayar DBH PBB Biaya pemungutan - Sektor Perhutanan Tahun 2021</t>
  </si>
  <si>
    <t>Dumai, 30 September 2022</t>
  </si>
  <si>
    <t>BULAN NOVEMBER</t>
  </si>
  <si>
    <t>Dumai,    November 2022</t>
  </si>
  <si>
    <t>Dumai,     November 2022</t>
  </si>
  <si>
    <t>BULAN  NOVEMBER</t>
  </si>
  <si>
    <t>~ Sewa Ruangan dan Parkir</t>
  </si>
  <si>
    <t>Dumai,    Oktober 2022</t>
  </si>
  <si>
    <t>Retribusi Pelayanan Pengujian Alat-alat ukur, Takar, Timbangan dan Perlengkapannya</t>
  </si>
  <si>
    <t>Dumai, 31 Oktober 2022</t>
  </si>
  <si>
    <t>???</t>
  </si>
  <si>
    <t>BULAN DESEMBER</t>
  </si>
  <si>
    <t>BULAN  DESEMBER</t>
  </si>
  <si>
    <t>6. Pendapatan Bantuan Pemerintah</t>
  </si>
  <si>
    <t xml:space="preserve"> 4 1 04 04 01 0001</t>
  </si>
  <si>
    <t>Dumai,            2023</t>
  </si>
  <si>
    <t>Audited'2022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</si>
</sst>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43" formatCode="_-* #,##0.00_-;\-* #,##0.00_-;_-* &quot;-&quot;??_-;_-@_-"/>
    <numFmt numFmtId="164" formatCode="_(&quot;Rp&quot;* #,##0_);_(&quot;Rp&quot;* \(#,##0\);_(&quot;Rp&quot;* &quot;-&quot;_);_(@_)"/>
    <numFmt numFmtId="165" formatCode="_(* #,##0_);_(* \(#,##0\);_(* &quot;-&quot;_);_(@_)"/>
    <numFmt numFmtId="166" formatCode="_(&quot;Rp&quot;* #,##0.00_);_(&quot;Rp&quot;* \(#,##0.00\);_(&quot;Rp&quot;* &quot;-&quot;??_);_(@_)"/>
    <numFmt numFmtId="167" formatCode="_(* #,##0.00_);_(* \(#,##0.00\);_(* &quot;-&quot;??_);_(@_)"/>
    <numFmt numFmtId="168" formatCode="_(* #,##0_);_(* \(#,##0\);_(* &quot;-&quot;??_);_(@_)"/>
    <numFmt numFmtId="169" formatCode="_(* #,##0.00_);_(* \(#,##0.00\);_(* &quot;-&quot;_);_(@_)"/>
    <numFmt numFmtId="170" formatCode="_(* #,##0_);_(* \(#,##0\);_(* \-_);_(@_)"/>
    <numFmt numFmtId="171" formatCode="#,##0;[Red]#,##0"/>
    <numFmt numFmtId="172" formatCode="_ * #,##0.00_ ;_ * \-#,##0.00_ ;_ * &quot;-&quot;??_ ;_ @_ "/>
    <numFmt numFmtId="173" formatCode="_(* #,##0.0000_);_(* \(#,##0.0000\);_(* &quot;-&quot;_);_(@_)"/>
  </numFmts>
  <fonts count="7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4"/>
      <name val="Tahoma"/>
      <family val="2"/>
    </font>
    <font>
      <sz val="14"/>
      <color rgb="FFFF0000"/>
      <name val="Tahoma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Tahoma"/>
      <family val="2"/>
    </font>
    <font>
      <b/>
      <u/>
      <sz val="14"/>
      <name val="Tahoma"/>
      <family val="2"/>
    </font>
    <font>
      <b/>
      <sz val="16"/>
      <name val="Tahoma"/>
      <family val="2"/>
    </font>
    <font>
      <i/>
      <sz val="14"/>
      <name val="Tahoma"/>
      <family val="2"/>
    </font>
    <font>
      <b/>
      <sz val="12"/>
      <name val="Tahoma"/>
      <family val="2"/>
    </font>
    <font>
      <b/>
      <i/>
      <sz val="11"/>
      <name val="Tahoma"/>
      <family val="2"/>
    </font>
    <font>
      <sz val="12"/>
      <name val="Tahoma"/>
      <family val="2"/>
    </font>
    <font>
      <b/>
      <sz val="12"/>
      <color theme="1"/>
      <name val="Tahoma"/>
      <family val="2"/>
    </font>
    <font>
      <b/>
      <u/>
      <sz val="12"/>
      <name val="Tahoma"/>
      <family val="2"/>
    </font>
    <font>
      <sz val="12"/>
      <color theme="1"/>
      <name val="Tahoma"/>
      <family val="2"/>
    </font>
    <font>
      <sz val="12"/>
      <color rgb="FFFF0000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8"/>
      <name val="MS Sans Serif"/>
      <family val="2"/>
    </font>
    <font>
      <sz val="10"/>
      <name val="Arial"/>
      <family val="2"/>
      <charset val="1"/>
    </font>
    <font>
      <sz val="11"/>
      <color theme="1"/>
      <name val="Calibri"/>
      <family val="2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theme="3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</font>
    <font>
      <sz val="11"/>
      <color rgb="FFFA7D00"/>
      <name val="Calibri"/>
      <family val="2"/>
      <scheme val="minor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8"/>
      <name val="MS Sans Serif"/>
      <family val="2"/>
      <charset val="1"/>
    </font>
    <font>
      <sz val="12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u/>
      <sz val="12"/>
      <color theme="10"/>
      <name val="Tahoma"/>
      <family val="2"/>
    </font>
    <font>
      <b/>
      <sz val="12"/>
      <color theme="0"/>
      <name val="Tahoma"/>
      <family val="2"/>
    </font>
    <font>
      <sz val="12"/>
      <color theme="0"/>
      <name val="Tahoma"/>
      <family val="2"/>
    </font>
    <font>
      <b/>
      <u/>
      <sz val="12"/>
      <color theme="0"/>
      <name val="Tahoma"/>
      <family val="2"/>
    </font>
    <font>
      <b/>
      <sz val="11"/>
      <color rgb="FFFF0000"/>
      <name val="Tahoma"/>
      <family val="2"/>
    </font>
    <font>
      <b/>
      <sz val="20"/>
      <name val="Tahoma"/>
      <family val="2"/>
    </font>
    <font>
      <b/>
      <sz val="10"/>
      <color rgb="FFFF0000"/>
      <name val="Tahoma"/>
      <family val="2"/>
    </font>
    <font>
      <b/>
      <sz val="18"/>
      <name val="Tahoma"/>
      <family val="2"/>
    </font>
    <font>
      <b/>
      <u/>
      <sz val="14"/>
      <color theme="1"/>
      <name val="Tahoma"/>
      <family val="2"/>
    </font>
    <font>
      <b/>
      <i/>
      <sz val="12"/>
      <name val="Cambria"/>
      <family val="1"/>
    </font>
    <font>
      <b/>
      <sz val="14"/>
      <color theme="0"/>
      <name val="Tahoma"/>
      <family val="2"/>
    </font>
    <font>
      <sz val="14"/>
      <color theme="0"/>
      <name val="Tahoma"/>
      <family val="2"/>
    </font>
    <font>
      <b/>
      <i/>
      <sz val="14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theme="1"/>
      <name val="Tahoma"/>
      <family val="2"/>
    </font>
    <font>
      <b/>
      <sz val="12"/>
      <color rgb="FFFF0000"/>
      <name val="Tahoma"/>
      <family val="2"/>
    </font>
    <font>
      <i/>
      <sz val="12"/>
      <name val="Cambria"/>
      <family val="1"/>
    </font>
    <font>
      <i/>
      <sz val="12"/>
      <name val="Tahoma"/>
      <family val="2"/>
    </font>
    <font>
      <i/>
      <sz val="14"/>
      <color theme="1"/>
      <name val="Tahoma"/>
      <family val="2"/>
    </font>
  </fonts>
  <fills count="7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152">
    <xf numFmtId="0" fontId="0" fillId="0" borderId="0"/>
    <xf numFmtId="165" fontId="5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6" fillId="0" borderId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5" fillId="17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7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24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31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35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25" borderId="0" applyNumberFormat="0" applyBorder="0" applyAlignment="0" applyProtection="0"/>
    <xf numFmtId="0" fontId="5" fillId="3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3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30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38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20" fillId="39" borderId="0" applyNumberFormat="0" applyBorder="0" applyAlignment="0" applyProtection="0"/>
    <xf numFmtId="0" fontId="21" fillId="40" borderId="0" applyNumberFormat="0" applyBorder="0" applyAlignment="0" applyProtection="0"/>
    <xf numFmtId="0" fontId="20" fillId="32" borderId="0" applyNumberFormat="0" applyBorder="0" applyAlignment="0" applyProtection="0"/>
    <xf numFmtId="0" fontId="21" fillId="41" borderId="0" applyNumberFormat="0" applyBorder="0" applyAlignment="0" applyProtection="0"/>
    <xf numFmtId="0" fontId="20" fillId="34" borderId="0" applyNumberFormat="0" applyBorder="0" applyAlignment="0" applyProtection="0"/>
    <xf numFmtId="0" fontId="21" fillId="42" borderId="0" applyNumberFormat="0" applyBorder="0" applyAlignment="0" applyProtection="0"/>
    <xf numFmtId="0" fontId="20" fillId="43" borderId="0" applyNumberFormat="0" applyBorder="0" applyAlignment="0" applyProtection="0"/>
    <xf numFmtId="0" fontId="21" fillId="44" borderId="0" applyNumberFormat="0" applyBorder="0" applyAlignment="0" applyProtection="0"/>
    <xf numFmtId="0" fontId="20" fillId="45" borderId="0" applyNumberFormat="0" applyBorder="0" applyAlignment="0" applyProtection="0"/>
    <xf numFmtId="0" fontId="21" fillId="46" borderId="0" applyNumberFormat="0" applyBorder="0" applyAlignment="0" applyProtection="0"/>
    <xf numFmtId="0" fontId="20" fillId="47" borderId="0" applyNumberFormat="0" applyBorder="0" applyAlignment="0" applyProtection="0"/>
    <xf numFmtId="0" fontId="21" fillId="48" borderId="0" applyNumberFormat="0" applyBorder="0" applyAlignment="0" applyProtection="0"/>
    <xf numFmtId="0" fontId="20" fillId="49" borderId="0" applyNumberFormat="0" applyBorder="0" applyAlignment="0" applyProtection="0"/>
    <xf numFmtId="0" fontId="21" fillId="50" borderId="0" applyNumberFormat="0" applyBorder="0" applyAlignment="0" applyProtection="0"/>
    <xf numFmtId="0" fontId="20" fillId="51" borderId="0" applyNumberFormat="0" applyBorder="0" applyAlignment="0" applyProtection="0"/>
    <xf numFmtId="0" fontId="21" fillId="52" borderId="0" applyNumberFormat="0" applyBorder="0" applyAlignment="0" applyProtection="0"/>
    <xf numFmtId="0" fontId="20" fillId="53" borderId="0" applyNumberFormat="0" applyBorder="0" applyAlignment="0" applyProtection="0"/>
    <xf numFmtId="0" fontId="21" fillId="54" borderId="0" applyNumberFormat="0" applyBorder="0" applyAlignment="0" applyProtection="0"/>
    <xf numFmtId="0" fontId="20" fillId="43" borderId="0" applyNumberFormat="0" applyBorder="0" applyAlignment="0" applyProtection="0"/>
    <xf numFmtId="0" fontId="21" fillId="55" borderId="0" applyNumberFormat="0" applyBorder="0" applyAlignment="0" applyProtection="0"/>
    <xf numFmtId="0" fontId="20" fillId="45" borderId="0" applyNumberFormat="0" applyBorder="0" applyAlignment="0" applyProtection="0"/>
    <xf numFmtId="0" fontId="21" fillId="56" borderId="0" applyNumberFormat="0" applyBorder="0" applyAlignment="0" applyProtection="0"/>
    <xf numFmtId="0" fontId="20" fillId="57" borderId="0" applyNumberFormat="0" applyBorder="0" applyAlignment="0" applyProtection="0"/>
    <xf numFmtId="0" fontId="21" fillId="58" borderId="0" applyNumberFormat="0" applyBorder="0" applyAlignment="0" applyProtection="0"/>
    <xf numFmtId="0" fontId="22" fillId="22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4" fillId="60" borderId="24" applyNumberFormat="0" applyAlignment="0" applyProtection="0"/>
    <xf numFmtId="0" fontId="25" fillId="61" borderId="3" applyNumberFormat="0" applyAlignment="0" applyProtection="0"/>
    <xf numFmtId="0" fontId="26" fillId="62" borderId="25" applyNumberFormat="0" applyAlignment="0" applyProtection="0"/>
    <xf numFmtId="0" fontId="27" fillId="63" borderId="6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8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29" fillId="0" borderId="0" applyFill="0" applyBorder="0" applyProtection="0"/>
    <xf numFmtId="165" fontId="1" fillId="0" borderId="0" applyFont="0" applyFill="0" applyBorder="0" applyAlignment="0" applyProtection="0"/>
    <xf numFmtId="167" fontId="28" fillId="0" borderId="0" applyFont="0" applyFill="0" applyBorder="0" applyAlignment="0" applyProtection="0">
      <alignment vertic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72" fontId="5" fillId="0" borderId="0" applyFont="0" applyFill="0" applyBorder="0" applyAlignment="0" applyProtection="0">
      <alignment vertic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23" borderId="0" applyNumberFormat="0" applyBorder="0" applyAlignment="0" applyProtection="0"/>
    <xf numFmtId="0" fontId="34" fillId="64" borderId="0" applyNumberFormat="0" applyBorder="0" applyAlignment="0" applyProtection="0"/>
    <xf numFmtId="0" fontId="35" fillId="0" borderId="26" applyNumberFormat="0" applyFill="0" applyAlignment="0" applyProtection="0"/>
    <xf numFmtId="0" fontId="36" fillId="0" borderId="1" applyNumberFormat="0" applyFill="0" applyAlignment="0" applyProtection="0"/>
    <xf numFmtId="0" fontId="37" fillId="0" borderId="27" applyNumberFormat="0" applyFill="0" applyAlignment="0" applyProtection="0"/>
    <xf numFmtId="0" fontId="38" fillId="0" borderId="2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1" fillId="28" borderId="24" applyNumberFormat="0" applyAlignment="0" applyProtection="0"/>
    <xf numFmtId="0" fontId="42" fillId="65" borderId="3" applyNumberFormat="0" applyAlignment="0" applyProtection="0"/>
    <xf numFmtId="0" fontId="43" fillId="0" borderId="30" applyNumberFormat="0" applyFill="0" applyAlignment="0" applyProtection="0"/>
    <xf numFmtId="0" fontId="44" fillId="0" borderId="5" applyNumberFormat="0" applyFill="0" applyAlignment="0" applyProtection="0"/>
    <xf numFmtId="0" fontId="45" fillId="66" borderId="0" applyNumberFormat="0" applyBorder="0" applyAlignment="0" applyProtection="0"/>
    <xf numFmtId="0" fontId="46" fillId="67" borderId="0" applyNumberFormat="0" applyBorder="0" applyAlignment="0" applyProtection="0"/>
    <xf numFmtId="0" fontId="28" fillId="0" borderId="0">
      <alignment vertical="center"/>
    </xf>
    <xf numFmtId="0" fontId="2" fillId="0" borderId="0"/>
    <xf numFmtId="0" fontId="28" fillId="0" borderId="0">
      <alignment vertical="center"/>
    </xf>
    <xf numFmtId="0" fontId="47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49" fillId="0" borderId="0">
      <alignment vertical="top"/>
    </xf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5" fillId="69" borderId="7" applyNumberFormat="0" applyFont="0" applyAlignment="0" applyProtection="0"/>
    <xf numFmtId="0" fontId="5" fillId="2" borderId="7" applyNumberFormat="0" applyFont="0" applyAlignment="0" applyProtection="0"/>
    <xf numFmtId="0" fontId="5" fillId="2" borderId="7" applyNumberFormat="0" applyFont="0" applyAlignment="0" applyProtection="0"/>
    <xf numFmtId="0" fontId="5" fillId="69" borderId="7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6" fillId="68" borderId="31" applyNumberFormat="0" applyFon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0" fillId="60" borderId="32" applyNumberFormat="0" applyAlignment="0" applyProtection="0"/>
    <xf numFmtId="0" fontId="51" fillId="61" borderId="4" applyNumberFormat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4" fillId="0" borderId="8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</cellStyleXfs>
  <cellXfs count="456">
    <xf numFmtId="0" fontId="0" fillId="0" borderId="0" xfId="0"/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165" fontId="3" fillId="0" borderId="0" xfId="1" applyFont="1" applyFill="1" applyAlignment="1">
      <alignment vertical="center"/>
    </xf>
    <xf numFmtId="0" fontId="3" fillId="0" borderId="0" xfId="4" applyFont="1" applyFill="1" applyAlignment="1">
      <alignment vertical="center"/>
    </xf>
    <xf numFmtId="0" fontId="7" fillId="0" borderId="0" xfId="2" applyFont="1" applyFill="1" applyAlignment="1">
      <alignment vertical="center"/>
    </xf>
    <xf numFmtId="0" fontId="8" fillId="0" borderId="0" xfId="2" applyFont="1" applyFill="1" applyAlignment="1">
      <alignment vertical="center"/>
    </xf>
    <xf numFmtId="167" fontId="10" fillId="0" borderId="0" xfId="3" applyFont="1" applyFill="1" applyAlignment="1">
      <alignment vertical="center"/>
    </xf>
    <xf numFmtId="167" fontId="10" fillId="0" borderId="0" xfId="3" applyFont="1" applyFill="1" applyAlignment="1">
      <alignment horizontal="right" vertical="center"/>
    </xf>
    <xf numFmtId="167" fontId="3" fillId="0" borderId="0" xfId="3" applyFont="1" applyFill="1" applyAlignment="1">
      <alignment vertical="center" wrapText="1"/>
    </xf>
    <xf numFmtId="0" fontId="3" fillId="0" borderId="0" xfId="4" applyFont="1" applyFill="1" applyAlignment="1">
      <alignment vertical="center" wrapText="1"/>
    </xf>
    <xf numFmtId="0" fontId="12" fillId="16" borderId="12" xfId="5" applyNumberFormat="1" applyFont="1" applyFill="1" applyBorder="1" applyAlignment="1">
      <alignment horizontal="center" vertical="center"/>
    </xf>
    <xf numFmtId="0" fontId="12" fillId="16" borderId="13" xfId="5" applyNumberFormat="1" applyFont="1" applyFill="1" applyBorder="1" applyAlignment="1">
      <alignment horizontal="center" vertical="center"/>
    </xf>
    <xf numFmtId="0" fontId="12" fillId="16" borderId="15" xfId="5" applyNumberFormat="1" applyFont="1" applyFill="1" applyBorder="1" applyAlignment="1">
      <alignment horizontal="center" vertical="center"/>
    </xf>
    <xf numFmtId="0" fontId="12" fillId="16" borderId="13" xfId="3" applyNumberFormat="1" applyFont="1" applyFill="1" applyBorder="1" applyAlignment="1">
      <alignment horizontal="center" vertical="center"/>
    </xf>
    <xf numFmtId="0" fontId="12" fillId="16" borderId="15" xfId="3" applyNumberFormat="1" applyFont="1" applyFill="1" applyBorder="1" applyAlignment="1">
      <alignment horizontal="center" vertical="center"/>
    </xf>
    <xf numFmtId="0" fontId="10" fillId="0" borderId="0" xfId="6" applyFont="1" applyFill="1" applyAlignment="1">
      <alignment vertical="center"/>
    </xf>
    <xf numFmtId="0" fontId="3" fillId="0" borderId="16" xfId="5" applyNumberFormat="1" applyFont="1" applyFill="1" applyBorder="1" applyAlignment="1">
      <alignment horizontal="center" vertical="center"/>
    </xf>
    <xf numFmtId="0" fontId="3" fillId="0" borderId="17" xfId="5" applyNumberFormat="1" applyFont="1" applyFill="1" applyBorder="1" applyAlignment="1">
      <alignment horizontal="center" vertical="center"/>
    </xf>
    <xf numFmtId="0" fontId="3" fillId="0" borderId="18" xfId="5" applyNumberFormat="1" applyFont="1" applyFill="1" applyBorder="1" applyAlignment="1">
      <alignment horizontal="center" vertical="center"/>
    </xf>
    <xf numFmtId="167" fontId="3" fillId="0" borderId="17" xfId="3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/>
    </xf>
    <xf numFmtId="167" fontId="11" fillId="0" borderId="17" xfId="5" applyFont="1" applyFill="1" applyBorder="1" applyAlignment="1">
      <alignment horizontal="center" vertical="center"/>
    </xf>
    <xf numFmtId="167" fontId="11" fillId="0" borderId="16" xfId="5" quotePrefix="1" applyFont="1" applyFill="1" applyBorder="1" applyAlignment="1">
      <alignment vertical="center"/>
    </xf>
    <xf numFmtId="10" fontId="13" fillId="0" borderId="19" xfId="2" applyNumberFormat="1" applyFont="1" applyFill="1" applyBorder="1" applyAlignment="1">
      <alignment vertical="center"/>
    </xf>
    <xf numFmtId="167" fontId="11" fillId="0" borderId="18" xfId="5" applyFont="1" applyFill="1" applyBorder="1" applyAlignment="1">
      <alignment horizontal="center" vertical="center"/>
    </xf>
    <xf numFmtId="167" fontId="11" fillId="0" borderId="16" xfId="5" quotePrefix="1" applyFont="1" applyFill="1" applyBorder="1" applyAlignment="1">
      <alignment horizontal="right" vertical="center"/>
    </xf>
    <xf numFmtId="167" fontId="13" fillId="0" borderId="16" xfId="5" applyFont="1" applyFill="1" applyBorder="1" applyAlignment="1">
      <alignment vertical="center"/>
    </xf>
    <xf numFmtId="167" fontId="13" fillId="0" borderId="18" xfId="5" quotePrefix="1" applyFont="1" applyFill="1" applyBorder="1" applyAlignment="1">
      <alignment horizontal="left" vertical="center"/>
    </xf>
    <xf numFmtId="0" fontId="11" fillId="0" borderId="16" xfId="2" quotePrefix="1" applyFont="1" applyFill="1" applyBorder="1" applyAlignment="1">
      <alignment horizontal="center" vertical="center"/>
    </xf>
    <xf numFmtId="167" fontId="11" fillId="0" borderId="18" xfId="5" applyFont="1" applyFill="1" applyBorder="1" applyAlignment="1">
      <alignment vertical="center" wrapText="1"/>
    </xf>
    <xf numFmtId="167" fontId="11" fillId="0" borderId="17" xfId="5" applyFont="1" applyFill="1" applyBorder="1" applyAlignment="1">
      <alignment horizontal="left" vertical="center"/>
    </xf>
    <xf numFmtId="167" fontId="15" fillId="0" borderId="18" xfId="5" applyFont="1" applyFill="1" applyBorder="1" applyAlignment="1">
      <alignment horizontal="left" vertical="center"/>
    </xf>
    <xf numFmtId="0" fontId="13" fillId="0" borderId="18" xfId="2" applyFont="1" applyFill="1" applyBorder="1" applyAlignment="1">
      <alignment vertical="center"/>
    </xf>
    <xf numFmtId="0" fontId="11" fillId="0" borderId="17" xfId="2" applyFont="1" applyFill="1" applyBorder="1" applyAlignment="1">
      <alignment vertical="center"/>
    </xf>
    <xf numFmtId="167" fontId="11" fillId="0" borderId="18" xfId="5" quotePrefix="1" applyFont="1" applyFill="1" applyBorder="1" applyAlignment="1">
      <alignment vertical="center"/>
    </xf>
    <xf numFmtId="0" fontId="13" fillId="0" borderId="17" xfId="5" applyNumberFormat="1" applyFont="1" applyFill="1" applyBorder="1" applyAlignment="1">
      <alignment horizontal="center" vertical="center"/>
    </xf>
    <xf numFmtId="0" fontId="13" fillId="0" borderId="18" xfId="5" applyNumberFormat="1" applyFont="1" applyFill="1" applyBorder="1" applyAlignment="1">
      <alignment horizontal="center" vertical="center"/>
    </xf>
    <xf numFmtId="167" fontId="3" fillId="0" borderId="17" xfId="3" applyFont="1" applyFill="1" applyBorder="1" applyAlignment="1">
      <alignment vertical="center"/>
    </xf>
    <xf numFmtId="167" fontId="3" fillId="0" borderId="18" xfId="5" applyFont="1" applyFill="1" applyBorder="1" applyAlignment="1">
      <alignment vertical="center"/>
    </xf>
    <xf numFmtId="168" fontId="13" fillId="0" borderId="16" xfId="5" applyNumberFormat="1" applyFont="1" applyFill="1" applyBorder="1" applyAlignment="1">
      <alignment horizontal="left" vertical="center"/>
    </xf>
    <xf numFmtId="167" fontId="11" fillId="19" borderId="18" xfId="5" applyFont="1" applyFill="1" applyBorder="1" applyAlignment="1">
      <alignment vertical="center"/>
    </xf>
    <xf numFmtId="167" fontId="11" fillId="19" borderId="17" xfId="3" applyFont="1" applyFill="1" applyBorder="1" applyAlignment="1">
      <alignment vertical="center"/>
    </xf>
    <xf numFmtId="168" fontId="11" fillId="0" borderId="17" xfId="5" applyNumberFormat="1" applyFont="1" applyFill="1" applyBorder="1" applyAlignment="1">
      <alignment horizontal="right" vertical="center"/>
    </xf>
    <xf numFmtId="168" fontId="13" fillId="0" borderId="17" xfId="5" applyNumberFormat="1" applyFont="1" applyFill="1" applyBorder="1" applyAlignment="1">
      <alignment vertical="center"/>
    </xf>
    <xf numFmtId="167" fontId="11" fillId="19" borderId="18" xfId="5" quotePrefix="1" applyFont="1" applyFill="1" applyBorder="1" applyAlignment="1">
      <alignment vertical="center"/>
    </xf>
    <xf numFmtId="168" fontId="11" fillId="0" borderId="17" xfId="5" applyNumberFormat="1" applyFont="1" applyFill="1" applyBorder="1" applyAlignment="1">
      <alignment horizontal="center" vertical="center"/>
    </xf>
    <xf numFmtId="0" fontId="13" fillId="0" borderId="0" xfId="4" quotePrefix="1" applyFont="1" applyFill="1" applyBorder="1" applyAlignment="1">
      <alignment vertical="center"/>
    </xf>
    <xf numFmtId="0" fontId="13" fillId="0" borderId="17" xfId="4" quotePrefix="1" applyFont="1" applyFill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167" fontId="13" fillId="0" borderId="13" xfId="3" applyFont="1" applyFill="1" applyBorder="1" applyAlignment="1">
      <alignment vertical="center"/>
    </xf>
    <xf numFmtId="168" fontId="11" fillId="0" borderId="17" xfId="5" applyNumberFormat="1" applyFont="1" applyFill="1" applyBorder="1" applyAlignment="1">
      <alignment vertical="center"/>
    </xf>
    <xf numFmtId="167" fontId="13" fillId="0" borderId="17" xfId="5" applyFont="1" applyFill="1" applyBorder="1" applyAlignment="1">
      <alignment horizontal="right" vertical="center"/>
    </xf>
    <xf numFmtId="169" fontId="11" fillId="0" borderId="17" xfId="8" applyNumberFormat="1" applyFont="1" applyFill="1" applyBorder="1" applyAlignment="1">
      <alignment vertical="center"/>
    </xf>
    <xf numFmtId="167" fontId="13" fillId="0" borderId="18" xfId="5" quotePrefix="1" applyFont="1" applyFill="1" applyBorder="1" applyAlignment="1">
      <alignment horizontal="left" vertical="center" wrapText="1"/>
    </xf>
    <xf numFmtId="169" fontId="13" fillId="0" borderId="17" xfId="8" applyNumberFormat="1" applyFont="1" applyFill="1" applyBorder="1" applyAlignment="1">
      <alignment vertical="center"/>
    </xf>
    <xf numFmtId="0" fontId="11" fillId="0" borderId="16" xfId="2" applyFont="1" applyFill="1" applyBorder="1" applyAlignment="1">
      <alignment horizontal="center" vertical="center"/>
    </xf>
    <xf numFmtId="0" fontId="11" fillId="0" borderId="17" xfId="2" applyFont="1" applyFill="1" applyBorder="1" applyAlignment="1">
      <alignment horizontal="center" vertical="center"/>
    </xf>
    <xf numFmtId="167" fontId="13" fillId="0" borderId="18" xfId="5" applyFont="1" applyFill="1" applyBorder="1" applyAlignment="1">
      <alignment vertical="center" wrapText="1"/>
    </xf>
    <xf numFmtId="167" fontId="11" fillId="18" borderId="20" xfId="5" applyFont="1" applyFill="1" applyBorder="1" applyAlignment="1">
      <alignment vertical="center"/>
    </xf>
    <xf numFmtId="167" fontId="13" fillId="18" borderId="21" xfId="5" applyFont="1" applyFill="1" applyBorder="1" applyAlignment="1">
      <alignment horizontal="center" vertical="center"/>
    </xf>
    <xf numFmtId="167" fontId="11" fillId="18" borderId="22" xfId="5" applyFont="1" applyFill="1" applyBorder="1" applyAlignment="1">
      <alignment horizontal="center" vertical="center"/>
    </xf>
    <xf numFmtId="167" fontId="11" fillId="18" borderId="21" xfId="3" applyFont="1" applyFill="1" applyBorder="1" applyAlignment="1">
      <alignment vertical="center"/>
    </xf>
    <xf numFmtId="167" fontId="7" fillId="0" borderId="13" xfId="5" applyFont="1" applyFill="1" applyBorder="1" applyAlignment="1">
      <alignment vertical="center"/>
    </xf>
    <xf numFmtId="167" fontId="7" fillId="0" borderId="13" xfId="5" applyFont="1" applyFill="1" applyBorder="1" applyAlignment="1">
      <alignment horizontal="left" vertical="center"/>
    </xf>
    <xf numFmtId="167" fontId="3" fillId="0" borderId="15" xfId="5" applyFont="1" applyFill="1" applyBorder="1" applyAlignment="1">
      <alignment vertical="center"/>
    </xf>
    <xf numFmtId="167" fontId="3" fillId="0" borderId="13" xfId="3" applyFont="1" applyFill="1" applyBorder="1" applyAlignment="1">
      <alignment vertical="center"/>
    </xf>
    <xf numFmtId="10" fontId="3" fillId="0" borderId="13" xfId="2" applyNumberFormat="1" applyFont="1" applyFill="1" applyBorder="1" applyAlignment="1">
      <alignment vertical="center"/>
    </xf>
    <xf numFmtId="167" fontId="7" fillId="0" borderId="17" xfId="5" applyFont="1" applyFill="1" applyBorder="1" applyAlignment="1">
      <alignment vertical="center"/>
    </xf>
    <xf numFmtId="167" fontId="7" fillId="0" borderId="17" xfId="5" quotePrefix="1" applyFont="1" applyFill="1" applyBorder="1" applyAlignment="1">
      <alignment horizontal="left" vertical="center"/>
    </xf>
    <xf numFmtId="167" fontId="7" fillId="0" borderId="18" xfId="5" quotePrefix="1" applyFont="1" applyFill="1" applyBorder="1" applyAlignment="1">
      <alignment vertical="center"/>
    </xf>
    <xf numFmtId="167" fontId="7" fillId="0" borderId="17" xfId="3" applyFont="1" applyFill="1" applyBorder="1" applyAlignment="1">
      <alignment vertical="center"/>
    </xf>
    <xf numFmtId="10" fontId="7" fillId="0" borderId="17" xfId="2" applyNumberFormat="1" applyFont="1" applyFill="1" applyBorder="1" applyAlignment="1">
      <alignment vertical="center"/>
    </xf>
    <xf numFmtId="167" fontId="3" fillId="0" borderId="17" xfId="5" quotePrefix="1" applyFont="1" applyFill="1" applyBorder="1" applyAlignment="1">
      <alignment horizontal="left" vertical="center"/>
    </xf>
    <xf numFmtId="167" fontId="3" fillId="0" borderId="18" xfId="5" quotePrefix="1" applyFont="1" applyFill="1" applyBorder="1" applyAlignment="1">
      <alignment vertical="center"/>
    </xf>
    <xf numFmtId="10" fontId="3" fillId="0" borderId="17" xfId="2" applyNumberFormat="1" applyFont="1" applyFill="1" applyBorder="1" applyAlignment="1">
      <alignment vertical="center"/>
    </xf>
    <xf numFmtId="167" fontId="7" fillId="0" borderId="17" xfId="5" applyFont="1" applyFill="1" applyBorder="1" applyAlignment="1">
      <alignment horizontal="left" vertical="center"/>
    </xf>
    <xf numFmtId="167" fontId="3" fillId="0" borderId="17" xfId="5" applyFont="1" applyFill="1" applyBorder="1" applyAlignment="1">
      <alignment horizontal="center" vertical="center"/>
    </xf>
    <xf numFmtId="167" fontId="7" fillId="0" borderId="18" xfId="5" applyFont="1" applyFill="1" applyBorder="1" applyAlignment="1">
      <alignment horizontal="center" vertical="center"/>
    </xf>
    <xf numFmtId="0" fontId="7" fillId="0" borderId="0" xfId="2" applyFont="1" applyFill="1" applyAlignment="1">
      <alignment horizontal="left" vertical="center"/>
    </xf>
    <xf numFmtId="167" fontId="7" fillId="0" borderId="0" xfId="3" applyFont="1" applyFill="1" applyAlignment="1">
      <alignment horizontal="center" vertical="center"/>
    </xf>
    <xf numFmtId="0" fontId="13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3" fillId="0" borderId="0" xfId="2" applyFont="1" applyFill="1" applyAlignment="1">
      <alignment vertical="center" wrapText="1"/>
    </xf>
    <xf numFmtId="167" fontId="11" fillId="0" borderId="34" xfId="3" applyFont="1" applyFill="1" applyBorder="1" applyAlignment="1">
      <alignment horizontal="center" vertical="center"/>
    </xf>
    <xf numFmtId="167" fontId="13" fillId="0" borderId="39" xfId="3" applyFont="1" applyFill="1" applyBorder="1" applyAlignment="1">
      <alignment horizontal="center" vertical="center"/>
    </xf>
    <xf numFmtId="167" fontId="13" fillId="0" borderId="40" xfId="3" quotePrefix="1" applyFont="1" applyFill="1" applyBorder="1" applyAlignment="1">
      <alignment horizontal="left" vertical="center"/>
    </xf>
    <xf numFmtId="167" fontId="13" fillId="0" borderId="37" xfId="3" applyFont="1" applyFill="1" applyBorder="1" applyAlignment="1">
      <alignment horizontal="left" vertical="center"/>
    </xf>
    <xf numFmtId="167" fontId="13" fillId="0" borderId="37" xfId="2" applyNumberFormat="1" applyFont="1" applyFill="1" applyBorder="1" applyAlignment="1">
      <alignment vertical="center"/>
    </xf>
    <xf numFmtId="10" fontId="13" fillId="0" borderId="37" xfId="2083" applyNumberFormat="1" applyFont="1" applyFill="1" applyBorder="1" applyAlignment="1">
      <alignment vertical="center"/>
    </xf>
    <xf numFmtId="167" fontId="13" fillId="0" borderId="0" xfId="2" applyNumberFormat="1" applyFont="1" applyFill="1" applyAlignment="1">
      <alignment vertical="center"/>
    </xf>
    <xf numFmtId="167" fontId="13" fillId="0" borderId="43" xfId="3" applyFont="1" applyFill="1" applyBorder="1" applyAlignment="1">
      <alignment horizontal="center" vertical="center"/>
    </xf>
    <xf numFmtId="167" fontId="11" fillId="0" borderId="49" xfId="3" quotePrefix="1" applyFont="1" applyFill="1" applyBorder="1" applyAlignment="1">
      <alignment horizontal="center" vertical="center"/>
    </xf>
    <xf numFmtId="167" fontId="11" fillId="0" borderId="50" xfId="7" quotePrefix="1" applyFont="1" applyFill="1" applyBorder="1" applyAlignment="1">
      <alignment horizontal="left" vertical="center"/>
    </xf>
    <xf numFmtId="167" fontId="11" fillId="0" borderId="51" xfId="7" quotePrefix="1" applyFont="1" applyFill="1" applyBorder="1" applyAlignment="1">
      <alignment vertical="center"/>
    </xf>
    <xf numFmtId="167" fontId="13" fillId="0" borderId="51" xfId="2" applyNumberFormat="1" applyFont="1" applyFill="1" applyBorder="1" applyAlignment="1">
      <alignment vertical="center"/>
    </xf>
    <xf numFmtId="10" fontId="13" fillId="0" borderId="51" xfId="2083" applyNumberFormat="1" applyFont="1" applyFill="1" applyBorder="1" applyAlignment="1">
      <alignment vertical="center"/>
    </xf>
    <xf numFmtId="167" fontId="11" fillId="0" borderId="40" xfId="7" quotePrefix="1" applyFont="1" applyFill="1" applyBorder="1" applyAlignment="1">
      <alignment horizontal="left" vertical="center"/>
    </xf>
    <xf numFmtId="167" fontId="11" fillId="0" borderId="37" xfId="7" quotePrefix="1" applyFont="1" applyFill="1" applyBorder="1" applyAlignment="1">
      <alignment vertical="center"/>
    </xf>
    <xf numFmtId="167" fontId="13" fillId="0" borderId="40" xfId="7" quotePrefix="1" applyFont="1" applyFill="1" applyBorder="1" applyAlignment="1">
      <alignment horizontal="left" vertical="center"/>
    </xf>
    <xf numFmtId="167" fontId="13" fillId="0" borderId="37" xfId="7" quotePrefix="1" applyFont="1" applyFill="1" applyBorder="1" applyAlignment="1">
      <alignment vertical="center"/>
    </xf>
    <xf numFmtId="167" fontId="13" fillId="0" borderId="52" xfId="3" applyFont="1" applyFill="1" applyBorder="1" applyAlignment="1">
      <alignment horizontal="center" vertical="center"/>
    </xf>
    <xf numFmtId="167" fontId="13" fillId="0" borderId="53" xfId="7" quotePrefix="1" applyFont="1" applyFill="1" applyBorder="1" applyAlignment="1">
      <alignment horizontal="left" vertical="center"/>
    </xf>
    <xf numFmtId="167" fontId="13" fillId="0" borderId="54" xfId="7" quotePrefix="1" applyFont="1" applyFill="1" applyBorder="1" applyAlignment="1">
      <alignment vertical="center"/>
    </xf>
    <xf numFmtId="167" fontId="13" fillId="0" borderId="54" xfId="2" applyNumberFormat="1" applyFont="1" applyFill="1" applyBorder="1" applyAlignment="1">
      <alignment vertical="center"/>
    </xf>
    <xf numFmtId="10" fontId="13" fillId="0" borderId="54" xfId="2083" applyNumberFormat="1" applyFont="1" applyFill="1" applyBorder="1" applyAlignment="1">
      <alignment vertical="center"/>
    </xf>
    <xf numFmtId="167" fontId="11" fillId="18" borderId="21" xfId="2" applyNumberFormat="1" applyFont="1" applyFill="1" applyBorder="1" applyAlignment="1">
      <alignment vertical="center"/>
    </xf>
    <xf numFmtId="10" fontId="11" fillId="18" borderId="21" xfId="2083" applyNumberFormat="1" applyFont="1" applyFill="1" applyBorder="1" applyAlignment="1">
      <alignment vertical="center"/>
    </xf>
    <xf numFmtId="167" fontId="11" fillId="0" borderId="0" xfId="3" applyFont="1" applyFill="1" applyBorder="1" applyAlignment="1">
      <alignment horizontal="center" vertical="center"/>
    </xf>
    <xf numFmtId="0" fontId="58" fillId="0" borderId="0" xfId="2" applyFont="1" applyFill="1" applyBorder="1" applyAlignment="1">
      <alignment horizontal="center" vertical="center"/>
    </xf>
    <xf numFmtId="167" fontId="11" fillId="0" borderId="0" xfId="2" applyNumberFormat="1" applyFont="1" applyFill="1" applyBorder="1" applyAlignment="1">
      <alignment vertical="center"/>
    </xf>
    <xf numFmtId="10" fontId="11" fillId="0" borderId="0" xfId="2083" applyNumberFormat="1" applyFont="1" applyFill="1" applyBorder="1" applyAlignment="1">
      <alignment vertical="center"/>
    </xf>
    <xf numFmtId="0" fontId="59" fillId="0" borderId="0" xfId="2" applyFont="1" applyFill="1" applyAlignment="1">
      <alignment horizontal="center" vertical="center"/>
    </xf>
    <xf numFmtId="0" fontId="13" fillId="0" borderId="0" xfId="2" applyFont="1" applyFill="1" applyAlignment="1">
      <alignment horizontal="center" vertical="center"/>
    </xf>
    <xf numFmtId="0" fontId="58" fillId="0" borderId="0" xfId="2" applyFont="1" applyFill="1" applyAlignment="1">
      <alignment horizontal="center" vertical="center"/>
    </xf>
    <xf numFmtId="167" fontId="16" fillId="0" borderId="0" xfId="3" applyFont="1" applyFill="1" applyBorder="1" applyAlignment="1">
      <alignment horizontal="center" vertical="center"/>
    </xf>
    <xf numFmtId="166" fontId="59" fillId="0" borderId="0" xfId="2" applyNumberFormat="1" applyFont="1" applyFill="1" applyAlignment="1">
      <alignment horizontal="center" vertical="center"/>
    </xf>
    <xf numFmtId="166" fontId="13" fillId="0" borderId="0" xfId="2" applyNumberFormat="1" applyFont="1" applyFill="1" applyAlignment="1">
      <alignment horizontal="center" vertical="center"/>
    </xf>
    <xf numFmtId="0" fontId="59" fillId="0" borderId="0" xfId="2" applyFont="1" applyFill="1" applyAlignment="1">
      <alignment vertical="center"/>
    </xf>
    <xf numFmtId="0" fontId="60" fillId="0" borderId="0" xfId="2" applyFont="1" applyFill="1" applyAlignment="1">
      <alignment horizontal="center" vertical="center"/>
    </xf>
    <xf numFmtId="0" fontId="15" fillId="0" borderId="0" xfId="2" applyFont="1" applyFill="1" applyAlignment="1">
      <alignment horizontal="center" vertical="center"/>
    </xf>
    <xf numFmtId="169" fontId="11" fillId="70" borderId="17" xfId="8" applyNumberFormat="1" applyFont="1" applyFill="1" applyBorder="1" applyAlignment="1">
      <alignment vertical="center"/>
    </xf>
    <xf numFmtId="168" fontId="11" fillId="0" borderId="16" xfId="5" applyNumberFormat="1" applyFont="1" applyFill="1" applyBorder="1" applyAlignment="1">
      <alignment horizontal="right" vertical="center"/>
    </xf>
    <xf numFmtId="167" fontId="11" fillId="18" borderId="16" xfId="5" applyFont="1" applyFill="1" applyBorder="1" applyAlignment="1">
      <alignment horizontal="center" vertical="center"/>
    </xf>
    <xf numFmtId="167" fontId="11" fillId="18" borderId="18" xfId="5" applyFont="1" applyFill="1" applyBorder="1" applyAlignment="1">
      <alignment vertical="center"/>
    </xf>
    <xf numFmtId="167" fontId="11" fillId="18" borderId="17" xfId="3" applyFont="1" applyFill="1" applyBorder="1" applyAlignment="1">
      <alignment vertical="center"/>
    </xf>
    <xf numFmtId="167" fontId="11" fillId="19" borderId="16" xfId="5" applyFont="1" applyFill="1" applyBorder="1" applyAlignment="1">
      <alignment horizontal="center" vertical="center"/>
    </xf>
    <xf numFmtId="167" fontId="11" fillId="19" borderId="17" xfId="5" quotePrefix="1" applyFont="1" applyFill="1" applyBorder="1" applyAlignment="1">
      <alignment horizontal="center" vertical="center"/>
    </xf>
    <xf numFmtId="167" fontId="11" fillId="19" borderId="17" xfId="5" quotePrefix="1" applyFont="1" applyFill="1" applyBorder="1" applyAlignment="1">
      <alignment horizontal="left" vertical="center"/>
    </xf>
    <xf numFmtId="167" fontId="11" fillId="19" borderId="16" xfId="5" quotePrefix="1" applyFont="1" applyFill="1" applyBorder="1" applyAlignment="1">
      <alignment horizontal="center" vertical="center"/>
    </xf>
    <xf numFmtId="167" fontId="11" fillId="18" borderId="18" xfId="5" quotePrefix="1" applyFont="1" applyFill="1" applyBorder="1" applyAlignment="1">
      <alignment vertical="center"/>
    </xf>
    <xf numFmtId="169" fontId="11" fillId="18" borderId="17" xfId="8" applyNumberFormat="1" applyFont="1" applyFill="1" applyBorder="1" applyAlignment="1">
      <alignment vertical="center"/>
    </xf>
    <xf numFmtId="168" fontId="11" fillId="18" borderId="16" xfId="5" applyNumberFormat="1" applyFont="1" applyFill="1" applyBorder="1" applyAlignment="1">
      <alignment horizontal="left" vertical="center"/>
    </xf>
    <xf numFmtId="167" fontId="11" fillId="18" borderId="17" xfId="5" quotePrefix="1" applyFont="1" applyFill="1" applyBorder="1" applyAlignment="1">
      <alignment horizontal="left" vertical="center"/>
    </xf>
    <xf numFmtId="167" fontId="11" fillId="71" borderId="16" xfId="5" applyFont="1" applyFill="1" applyBorder="1" applyAlignment="1">
      <alignment horizontal="center" vertical="center"/>
    </xf>
    <xf numFmtId="167" fontId="11" fillId="71" borderId="17" xfId="5" quotePrefix="1" applyFont="1" applyFill="1" applyBorder="1" applyAlignment="1">
      <alignment horizontal="left" vertical="center"/>
    </xf>
    <xf numFmtId="167" fontId="11" fillId="71" borderId="18" xfId="5" applyFont="1" applyFill="1" applyBorder="1" applyAlignment="1">
      <alignment vertical="center"/>
    </xf>
    <xf numFmtId="167" fontId="11" fillId="71" borderId="17" xfId="3" applyFont="1" applyFill="1" applyBorder="1" applyAlignment="1">
      <alignment vertical="center"/>
    </xf>
    <xf numFmtId="167" fontId="11" fillId="72" borderId="16" xfId="5" applyFont="1" applyFill="1" applyBorder="1" applyAlignment="1">
      <alignment horizontal="center" vertical="center"/>
    </xf>
    <xf numFmtId="167" fontId="11" fillId="72" borderId="17" xfId="5" quotePrefix="1" applyFont="1" applyFill="1" applyBorder="1" applyAlignment="1">
      <alignment horizontal="left" vertical="center"/>
    </xf>
    <xf numFmtId="167" fontId="11" fillId="72" borderId="18" xfId="5" applyFont="1" applyFill="1" applyBorder="1" applyAlignment="1">
      <alignment vertical="center"/>
    </xf>
    <xf numFmtId="167" fontId="11" fillId="72" borderId="17" xfId="3" applyFont="1" applyFill="1" applyBorder="1" applyAlignment="1">
      <alignment vertical="center"/>
    </xf>
    <xf numFmtId="167" fontId="14" fillId="72" borderId="17" xfId="3" applyFont="1" applyFill="1" applyBorder="1" applyAlignment="1">
      <alignment vertical="center"/>
    </xf>
    <xf numFmtId="167" fontId="11" fillId="19" borderId="45" xfId="3" applyFont="1" applyFill="1" applyBorder="1" applyAlignment="1">
      <alignment horizontal="center" vertical="center"/>
    </xf>
    <xf numFmtId="167" fontId="11" fillId="19" borderId="46" xfId="3" applyFont="1" applyFill="1" applyBorder="1" applyAlignment="1">
      <alignment horizontal="left" vertical="center"/>
    </xf>
    <xf numFmtId="167" fontId="11" fillId="19" borderId="47" xfId="3" applyFont="1" applyFill="1" applyBorder="1" applyAlignment="1">
      <alignment horizontal="left" vertical="center"/>
    </xf>
    <xf numFmtId="167" fontId="11" fillId="19" borderId="47" xfId="2" applyNumberFormat="1" applyFont="1" applyFill="1" applyBorder="1" applyAlignment="1">
      <alignment vertical="center"/>
    </xf>
    <xf numFmtId="167" fontId="13" fillId="0" borderId="35" xfId="3" quotePrefix="1" applyFont="1" applyFill="1" applyBorder="1" applyAlignment="1">
      <alignment horizontal="left" vertical="center"/>
    </xf>
    <xf numFmtId="167" fontId="13" fillId="0" borderId="36" xfId="3" applyFont="1" applyFill="1" applyBorder="1" applyAlignment="1">
      <alignment horizontal="left" vertical="center"/>
    </xf>
    <xf numFmtId="167" fontId="11" fillId="71" borderId="58" xfId="3" applyFont="1" applyFill="1" applyBorder="1" applyAlignment="1">
      <alignment horizontal="center" vertical="center"/>
    </xf>
    <xf numFmtId="167" fontId="11" fillId="71" borderId="17" xfId="3" quotePrefix="1" applyFont="1" applyFill="1" applyBorder="1" applyAlignment="1">
      <alignment horizontal="left" vertical="center"/>
    </xf>
    <xf numFmtId="167" fontId="11" fillId="71" borderId="18" xfId="3" applyFont="1" applyFill="1" applyBorder="1" applyAlignment="1">
      <alignment horizontal="left" vertical="center"/>
    </xf>
    <xf numFmtId="167" fontId="11" fillId="71" borderId="18" xfId="2" applyNumberFormat="1" applyFont="1" applyFill="1" applyBorder="1" applyAlignment="1">
      <alignment vertical="center"/>
    </xf>
    <xf numFmtId="167" fontId="13" fillId="0" borderId="57" xfId="3" quotePrefix="1" applyFont="1" applyFill="1" applyBorder="1" applyAlignment="1">
      <alignment horizontal="left" vertical="center"/>
    </xf>
    <xf numFmtId="167" fontId="13" fillId="0" borderId="44" xfId="3" applyFont="1" applyFill="1" applyBorder="1" applyAlignment="1">
      <alignment horizontal="left" vertical="center"/>
    </xf>
    <xf numFmtId="167" fontId="11" fillId="71" borderId="17" xfId="2" applyNumberFormat="1" applyFont="1" applyFill="1" applyBorder="1" applyAlignment="1">
      <alignment vertical="center"/>
    </xf>
    <xf numFmtId="167" fontId="11" fillId="18" borderId="58" xfId="3" applyFont="1" applyFill="1" applyBorder="1" applyAlignment="1">
      <alignment horizontal="center" vertical="center"/>
    </xf>
    <xf numFmtId="167" fontId="11" fillId="18" borderId="17" xfId="3" quotePrefix="1" applyFont="1" applyFill="1" applyBorder="1" applyAlignment="1">
      <alignment horizontal="left" vertical="center"/>
    </xf>
    <xf numFmtId="167" fontId="11" fillId="18" borderId="18" xfId="3" applyFont="1" applyFill="1" applyBorder="1" applyAlignment="1">
      <alignment horizontal="left" vertical="center"/>
    </xf>
    <xf numFmtId="167" fontId="11" fillId="18" borderId="18" xfId="2" applyNumberFormat="1" applyFont="1" applyFill="1" applyBorder="1" applyAlignment="1">
      <alignment vertical="center"/>
    </xf>
    <xf numFmtId="167" fontId="11" fillId="72" borderId="58" xfId="3" applyFont="1" applyFill="1" applyBorder="1" applyAlignment="1">
      <alignment horizontal="center" vertical="center"/>
    </xf>
    <xf numFmtId="167" fontId="11" fillId="72" borderId="17" xfId="3" quotePrefix="1" applyFont="1" applyFill="1" applyBorder="1" applyAlignment="1">
      <alignment horizontal="left" vertical="center"/>
    </xf>
    <xf numFmtId="167" fontId="11" fillId="72" borderId="18" xfId="3" applyFont="1" applyFill="1" applyBorder="1" applyAlignment="1">
      <alignment horizontal="left" vertical="center"/>
    </xf>
    <xf numFmtId="167" fontId="11" fillId="72" borderId="18" xfId="2" applyNumberFormat="1" applyFont="1" applyFill="1" applyBorder="1" applyAlignment="1">
      <alignment vertical="center"/>
    </xf>
    <xf numFmtId="167" fontId="13" fillId="0" borderId="44" xfId="2" applyNumberFormat="1" applyFont="1" applyFill="1" applyBorder="1" applyAlignment="1">
      <alignment horizontal="center" vertical="center"/>
    </xf>
    <xf numFmtId="0" fontId="11" fillId="0" borderId="16" xfId="5" quotePrefix="1" applyNumberFormat="1" applyFont="1" applyFill="1" applyBorder="1" applyAlignment="1">
      <alignment horizontal="center" vertical="center"/>
    </xf>
    <xf numFmtId="167" fontId="13" fillId="0" borderId="18" xfId="7" applyFont="1" applyFill="1" applyBorder="1" applyAlignment="1">
      <alignment vertical="center"/>
    </xf>
    <xf numFmtId="167" fontId="11" fillId="0" borderId="17" xfId="5" quotePrefix="1" applyFont="1" applyFill="1" applyBorder="1" applyAlignment="1">
      <alignment horizontal="center" vertical="center"/>
    </xf>
    <xf numFmtId="167" fontId="11" fillId="0" borderId="16" xfId="5" quotePrefix="1" applyFont="1" applyFill="1" applyBorder="1" applyAlignment="1">
      <alignment horizontal="center" vertical="center"/>
    </xf>
    <xf numFmtId="167" fontId="11" fillId="0" borderId="16" xfId="5" applyFont="1" applyFill="1" applyBorder="1" applyAlignment="1">
      <alignment horizontal="center" vertical="center"/>
    </xf>
    <xf numFmtId="167" fontId="11" fillId="0" borderId="17" xfId="5" applyFont="1" applyFill="1" applyBorder="1" applyAlignment="1">
      <alignment vertical="center"/>
    </xf>
    <xf numFmtId="167" fontId="13" fillId="0" borderId="18" xfId="5" applyFont="1" applyFill="1" applyBorder="1" applyAlignment="1">
      <alignment horizontal="left" vertical="center"/>
    </xf>
    <xf numFmtId="167" fontId="11" fillId="0" borderId="18" xfId="5" applyFont="1" applyFill="1" applyBorder="1" applyAlignment="1">
      <alignment horizontal="left" vertical="center"/>
    </xf>
    <xf numFmtId="167" fontId="13" fillId="0" borderId="36" xfId="2" applyNumberFormat="1" applyFont="1" applyFill="1" applyBorder="1" applyAlignment="1">
      <alignment vertical="center"/>
    </xf>
    <xf numFmtId="167" fontId="13" fillId="0" borderId="44" xfId="2" applyNumberFormat="1" applyFont="1" applyFill="1" applyBorder="1" applyAlignment="1">
      <alignment vertical="center"/>
    </xf>
    <xf numFmtId="167" fontId="3" fillId="0" borderId="0" xfId="3" applyFont="1" applyFill="1" applyAlignment="1">
      <alignment vertical="center"/>
    </xf>
    <xf numFmtId="0" fontId="3" fillId="0" borderId="0" xfId="6" applyFont="1" applyFill="1" applyAlignment="1">
      <alignment vertical="center"/>
    </xf>
    <xf numFmtId="167" fontId="13" fillId="0" borderId="17" xfId="5" quotePrefix="1" applyFont="1" applyFill="1" applyBorder="1" applyAlignment="1">
      <alignment vertical="center"/>
    </xf>
    <xf numFmtId="167" fontId="13" fillId="0" borderId="17" xfId="5" applyFont="1" applyFill="1" applyBorder="1" applyAlignment="1">
      <alignment vertical="center"/>
    </xf>
    <xf numFmtId="167" fontId="11" fillId="0" borderId="17" xfId="5" quotePrefix="1" applyFont="1" applyFill="1" applyBorder="1" applyAlignment="1">
      <alignment vertical="center"/>
    </xf>
    <xf numFmtId="0" fontId="11" fillId="0" borderId="18" xfId="2" applyFont="1" applyFill="1" applyBorder="1" applyAlignment="1">
      <alignment vertical="center"/>
    </xf>
    <xf numFmtId="167" fontId="16" fillId="0" borderId="17" xfId="3" applyFont="1" applyFill="1" applyBorder="1" applyAlignment="1">
      <alignment vertical="center"/>
    </xf>
    <xf numFmtId="0" fontId="13" fillId="0" borderId="16" xfId="5" applyNumberFormat="1" applyFont="1" applyFill="1" applyBorder="1" applyAlignment="1">
      <alignment horizontal="center" vertical="center"/>
    </xf>
    <xf numFmtId="167" fontId="13" fillId="0" borderId="18" xfId="5" applyFont="1" applyFill="1" applyBorder="1" applyAlignment="1">
      <alignment vertical="center"/>
    </xf>
    <xf numFmtId="167" fontId="13" fillId="0" borderId="16" xfId="5" quotePrefix="1" applyFont="1" applyFill="1" applyBorder="1" applyAlignment="1">
      <alignment horizontal="center" vertical="center"/>
    </xf>
    <xf numFmtId="167" fontId="11" fillId="0" borderId="18" xfId="5" applyFont="1" applyFill="1" applyBorder="1" applyAlignment="1">
      <alignment vertical="center"/>
    </xf>
    <xf numFmtId="167" fontId="7" fillId="0" borderId="0" xfId="3" applyFont="1" applyFill="1" applyAlignment="1">
      <alignment vertical="center"/>
    </xf>
    <xf numFmtId="0" fontId="7" fillId="0" borderId="0" xfId="6" applyFont="1" applyFill="1" applyAlignment="1">
      <alignment vertical="center"/>
    </xf>
    <xf numFmtId="167" fontId="13" fillId="0" borderId="16" xfId="5" applyFont="1" applyFill="1" applyBorder="1" applyAlignment="1">
      <alignment horizontal="center" vertical="center"/>
    </xf>
    <xf numFmtId="167" fontId="11" fillId="0" borderId="17" xfId="5" quotePrefix="1" applyFont="1" applyFill="1" applyBorder="1" applyAlignment="1">
      <alignment horizontal="left" vertical="center"/>
    </xf>
    <xf numFmtId="167" fontId="13" fillId="0" borderId="17" xfId="5" quotePrefix="1" applyFont="1" applyFill="1" applyBorder="1" applyAlignment="1">
      <alignment horizontal="left" vertical="center"/>
    </xf>
    <xf numFmtId="167" fontId="11" fillId="0" borderId="17" xfId="3" applyFont="1" applyFill="1" applyBorder="1" applyAlignment="1">
      <alignment vertical="center"/>
    </xf>
    <xf numFmtId="167" fontId="13" fillId="0" borderId="17" xfId="3" applyFont="1" applyFill="1" applyBorder="1" applyAlignment="1">
      <alignment vertical="center"/>
    </xf>
    <xf numFmtId="167" fontId="13" fillId="0" borderId="18" xfId="5" quotePrefix="1" applyFont="1" applyFill="1" applyBorder="1" applyAlignment="1">
      <alignment vertical="center"/>
    </xf>
    <xf numFmtId="0" fontId="3" fillId="0" borderId="0" xfId="2" applyFont="1" applyFill="1" applyAlignment="1">
      <alignment horizontal="center" vertical="center"/>
    </xf>
    <xf numFmtId="167" fontId="18" fillId="0" borderId="0" xfId="3" applyFont="1" applyFill="1" applyBorder="1" applyAlignment="1">
      <alignment horizontal="center" vertical="center"/>
    </xf>
    <xf numFmtId="167" fontId="14" fillId="0" borderId="17" xfId="3" applyFont="1" applyFill="1" applyBorder="1" applyAlignment="1">
      <alignment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0" xfId="3" applyNumberFormat="1" applyFont="1" applyFill="1" applyBorder="1" applyAlignment="1">
      <alignment horizontal="left" vertical="center"/>
    </xf>
    <xf numFmtId="167" fontId="11" fillId="19" borderId="17" xfId="3" quotePrefix="1" applyFont="1" applyFill="1" applyBorder="1" applyAlignment="1">
      <alignment horizontal="left" vertical="center"/>
    </xf>
    <xf numFmtId="167" fontId="11" fillId="19" borderId="18" xfId="3" applyFont="1" applyFill="1" applyBorder="1" applyAlignment="1">
      <alignment horizontal="left" vertical="center"/>
    </xf>
    <xf numFmtId="167" fontId="19" fillId="0" borderId="0" xfId="3" applyFont="1" applyFill="1" applyBorder="1" applyAlignment="1">
      <alignment horizontal="center" vertical="center"/>
    </xf>
    <xf numFmtId="0" fontId="11" fillId="15" borderId="59" xfId="2" applyFont="1" applyFill="1" applyBorder="1" applyAlignment="1">
      <alignment horizontal="center" vertical="center" wrapText="1"/>
    </xf>
    <xf numFmtId="0" fontId="11" fillId="15" borderId="15" xfId="2" applyFont="1" applyFill="1" applyBorder="1" applyAlignment="1">
      <alignment horizontal="center" vertical="center" wrapText="1"/>
    </xf>
    <xf numFmtId="0" fontId="11" fillId="15" borderId="21" xfId="2" applyFont="1" applyFill="1" applyBorder="1" applyAlignment="1">
      <alignment horizontal="center" vertical="center" wrapText="1"/>
    </xf>
    <xf numFmtId="0" fontId="10" fillId="0" borderId="61" xfId="2" applyFont="1" applyFill="1" applyBorder="1" applyAlignment="1">
      <alignment horizontal="center" vertical="center"/>
    </xf>
    <xf numFmtId="0" fontId="3" fillId="0" borderId="64" xfId="2" applyFont="1" applyFill="1" applyBorder="1" applyAlignment="1">
      <alignment horizontal="center" vertical="center"/>
    </xf>
    <xf numFmtId="167" fontId="13" fillId="0" borderId="64" xfId="2" applyNumberFormat="1" applyFont="1" applyFill="1" applyBorder="1" applyAlignment="1">
      <alignment vertical="center"/>
    </xf>
    <xf numFmtId="0" fontId="13" fillId="19" borderId="64" xfId="2" applyFont="1" applyFill="1" applyBorder="1" applyAlignment="1">
      <alignment vertical="center"/>
    </xf>
    <xf numFmtId="0" fontId="13" fillId="0" borderId="64" xfId="2" applyFont="1" applyFill="1" applyBorder="1" applyAlignment="1">
      <alignment vertical="center"/>
    </xf>
    <xf numFmtId="0" fontId="11" fillId="0" borderId="64" xfId="2" applyFont="1" applyFill="1" applyBorder="1" applyAlignment="1">
      <alignment vertical="center"/>
    </xf>
    <xf numFmtId="167" fontId="13" fillId="0" borderId="64" xfId="2" applyNumberFormat="1" applyFont="1" applyFill="1" applyBorder="1" applyAlignment="1">
      <alignment vertical="top" wrapText="1"/>
    </xf>
    <xf numFmtId="167" fontId="13" fillId="0" borderId="64" xfId="2" applyNumberFormat="1" applyFont="1" applyFill="1" applyBorder="1" applyAlignment="1">
      <alignment horizontal="left" vertical="center" wrapText="1"/>
    </xf>
    <xf numFmtId="10" fontId="13" fillId="0" borderId="64" xfId="2" applyNumberFormat="1" applyFont="1" applyFill="1" applyBorder="1" applyAlignment="1">
      <alignment vertical="top" wrapText="1"/>
    </xf>
    <xf numFmtId="10" fontId="13" fillId="0" borderId="64" xfId="2" applyNumberFormat="1" applyFont="1" applyFill="1" applyBorder="1" applyAlignment="1">
      <alignment horizontal="left" vertical="center" wrapText="1"/>
    </xf>
    <xf numFmtId="10" fontId="13" fillId="0" borderId="64" xfId="2" applyNumberFormat="1" applyFont="1" applyFill="1" applyBorder="1" applyAlignment="1">
      <alignment vertical="center"/>
    </xf>
    <xf numFmtId="167" fontId="11" fillId="0" borderId="64" xfId="2" applyNumberFormat="1" applyFont="1" applyFill="1" applyBorder="1" applyAlignment="1">
      <alignment vertical="center"/>
    </xf>
    <xf numFmtId="167" fontId="13" fillId="0" borderId="64" xfId="5" applyFont="1" applyFill="1" applyBorder="1" applyAlignment="1">
      <alignment vertical="center"/>
    </xf>
    <xf numFmtId="167" fontId="13" fillId="0" borderId="64" xfId="3" applyFont="1" applyFill="1" applyBorder="1" applyAlignment="1">
      <alignment vertical="center"/>
    </xf>
    <xf numFmtId="0" fontId="13" fillId="0" borderId="64" xfId="6" applyFont="1" applyFill="1" applyBorder="1" applyAlignment="1">
      <alignment vertical="center"/>
    </xf>
    <xf numFmtId="10" fontId="11" fillId="0" borderId="64" xfId="2" applyNumberFormat="1" applyFont="1" applyFill="1" applyBorder="1" applyAlignment="1">
      <alignment horizontal="center" vertical="center"/>
    </xf>
    <xf numFmtId="167" fontId="11" fillId="0" borderId="64" xfId="5" applyFont="1" applyFill="1" applyBorder="1" applyAlignment="1">
      <alignment vertical="center"/>
    </xf>
    <xf numFmtId="0" fontId="13" fillId="0" borderId="64" xfId="2" applyFont="1" applyFill="1" applyBorder="1" applyAlignment="1">
      <alignment horizontal="center" vertical="center"/>
    </xf>
    <xf numFmtId="167" fontId="11" fillId="0" borderId="64" xfId="2" applyNumberFormat="1" applyFont="1" applyFill="1" applyBorder="1" applyAlignment="1">
      <alignment horizontal="left" vertical="center"/>
    </xf>
    <xf numFmtId="167" fontId="13" fillId="0" borderId="64" xfId="2" applyNumberFormat="1" applyFont="1" applyFill="1" applyBorder="1" applyAlignment="1">
      <alignment horizontal="left" vertical="center"/>
    </xf>
    <xf numFmtId="167" fontId="17" fillId="0" borderId="64" xfId="2" applyNumberFormat="1" applyFont="1" applyFill="1" applyBorder="1" applyAlignment="1">
      <alignment horizontal="left" vertical="center"/>
    </xf>
    <xf numFmtId="167" fontId="13" fillId="0" borderId="65" xfId="2" applyNumberFormat="1" applyFont="1" applyFill="1" applyBorder="1" applyAlignment="1">
      <alignment horizontal="center" vertical="center" wrapText="1"/>
    </xf>
    <xf numFmtId="167" fontId="13" fillId="0" borderId="64" xfId="2" applyNumberFormat="1" applyFont="1" applyFill="1" applyBorder="1" applyAlignment="1">
      <alignment horizontal="center" vertical="center"/>
    </xf>
    <xf numFmtId="167" fontId="3" fillId="0" borderId="64" xfId="2" applyNumberFormat="1" applyFont="1" applyFill="1" applyBorder="1" applyAlignment="1">
      <alignment horizontal="left" vertical="center"/>
    </xf>
    <xf numFmtId="167" fontId="3" fillId="0" borderId="64" xfId="5" applyFont="1" applyFill="1" applyBorder="1" applyAlignment="1">
      <alignment vertical="center"/>
    </xf>
    <xf numFmtId="167" fontId="7" fillId="0" borderId="64" xfId="5" applyFont="1" applyFill="1" applyBorder="1" applyAlignment="1">
      <alignment vertical="center"/>
    </xf>
    <xf numFmtId="0" fontId="3" fillId="0" borderId="64" xfId="4" applyFont="1" applyFill="1" applyBorder="1" applyAlignment="1">
      <alignment vertical="center" wrapText="1"/>
    </xf>
    <xf numFmtId="167" fontId="3" fillId="0" borderId="64" xfId="4" applyNumberFormat="1" applyFont="1" applyFill="1" applyBorder="1" applyAlignment="1">
      <alignment vertical="center" wrapText="1"/>
    </xf>
    <xf numFmtId="165" fontId="3" fillId="0" borderId="64" xfId="1" applyFont="1" applyFill="1" applyBorder="1" applyAlignment="1">
      <alignment vertical="center" wrapText="1"/>
    </xf>
    <xf numFmtId="167" fontId="3" fillId="18" borderId="66" xfId="2" applyNumberFormat="1" applyFont="1" applyFill="1" applyBorder="1" applyAlignment="1">
      <alignment vertical="center"/>
    </xf>
    <xf numFmtId="10" fontId="12" fillId="16" borderId="14" xfId="2" applyNumberFormat="1" applyFont="1" applyFill="1" applyBorder="1" applyAlignment="1">
      <alignment horizontal="center" vertical="center"/>
    </xf>
    <xf numFmtId="10" fontId="11" fillId="0" borderId="19" xfId="2" applyNumberFormat="1" applyFont="1" applyFill="1" applyBorder="1" applyAlignment="1">
      <alignment vertical="center"/>
    </xf>
    <xf numFmtId="10" fontId="11" fillId="19" borderId="19" xfId="2" applyNumberFormat="1" applyFont="1" applyFill="1" applyBorder="1" applyAlignment="1">
      <alignment vertical="center"/>
    </xf>
    <xf numFmtId="10" fontId="11" fillId="71" borderId="19" xfId="2" applyNumberFormat="1" applyFont="1" applyFill="1" applyBorder="1" applyAlignment="1">
      <alignment vertical="center"/>
    </xf>
    <xf numFmtId="10" fontId="11" fillId="18" borderId="19" xfId="2" applyNumberFormat="1" applyFont="1" applyFill="1" applyBorder="1" applyAlignment="1">
      <alignment vertical="center"/>
    </xf>
    <xf numFmtId="10" fontId="11" fillId="72" borderId="19" xfId="2" applyNumberFormat="1" applyFont="1" applyFill="1" applyBorder="1" applyAlignment="1">
      <alignment vertical="center"/>
    </xf>
    <xf numFmtId="10" fontId="3" fillId="0" borderId="19" xfId="2" applyNumberFormat="1" applyFont="1" applyFill="1" applyBorder="1" applyAlignment="1">
      <alignment vertical="center"/>
    </xf>
    <xf numFmtId="10" fontId="11" fillId="18" borderId="23" xfId="2" applyNumberFormat="1" applyFont="1" applyFill="1" applyBorder="1" applyAlignment="1">
      <alignment vertical="center"/>
    </xf>
    <xf numFmtId="10" fontId="11" fillId="71" borderId="19" xfId="2083" applyNumberFormat="1" applyFont="1" applyFill="1" applyBorder="1" applyAlignment="1">
      <alignment vertical="center"/>
    </xf>
    <xf numFmtId="10" fontId="13" fillId="0" borderId="38" xfId="2083" applyNumberFormat="1" applyFont="1" applyFill="1" applyBorder="1" applyAlignment="1">
      <alignment vertical="center"/>
    </xf>
    <xf numFmtId="10" fontId="13" fillId="0" borderId="42" xfId="2083" applyNumberFormat="1" applyFont="1" applyFill="1" applyBorder="1" applyAlignment="1">
      <alignment vertical="center"/>
    </xf>
    <xf numFmtId="10" fontId="11" fillId="18" borderId="19" xfId="2083" applyNumberFormat="1" applyFont="1" applyFill="1" applyBorder="1" applyAlignment="1">
      <alignment vertical="center"/>
    </xf>
    <xf numFmtId="10" fontId="11" fillId="72" borderId="19" xfId="2083" applyNumberFormat="1" applyFont="1" applyFill="1" applyBorder="1" applyAlignment="1">
      <alignment vertical="center"/>
    </xf>
    <xf numFmtId="10" fontId="13" fillId="0" borderId="41" xfId="2083" applyNumberFormat="1" applyFont="1" applyFill="1" applyBorder="1" applyAlignment="1">
      <alignment vertical="center"/>
    </xf>
    <xf numFmtId="10" fontId="11" fillId="19" borderId="48" xfId="2083" applyNumberFormat="1" applyFont="1" applyFill="1" applyBorder="1" applyAlignment="1">
      <alignment vertical="center"/>
    </xf>
    <xf numFmtId="167" fontId="13" fillId="0" borderId="36" xfId="3" applyFont="1" applyFill="1" applyBorder="1" applyAlignment="1">
      <alignment horizontal="left" vertical="center" wrapText="1"/>
    </xf>
    <xf numFmtId="0" fontId="11" fillId="15" borderId="17" xfId="2" applyFont="1" applyFill="1" applyBorder="1" applyAlignment="1">
      <alignment horizontal="center" vertical="center" wrapText="1"/>
    </xf>
    <xf numFmtId="10" fontId="59" fillId="0" borderId="19" xfId="2" applyNumberFormat="1" applyFont="1" applyFill="1" applyBorder="1" applyAlignment="1">
      <alignment vertical="center"/>
    </xf>
    <xf numFmtId="10" fontId="58" fillId="0" borderId="19" xfId="2" applyNumberFormat="1" applyFont="1" applyFill="1" applyBorder="1" applyAlignment="1">
      <alignment vertical="center"/>
    </xf>
    <xf numFmtId="0" fontId="11" fillId="0" borderId="16" xfId="5" applyNumberFormat="1" applyFont="1" applyFill="1" applyBorder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167" fontId="11" fillId="0" borderId="35" xfId="3" quotePrefix="1" applyFont="1" applyFill="1" applyBorder="1" applyAlignment="1">
      <alignment horizontal="left" vertical="center"/>
    </xf>
    <xf numFmtId="167" fontId="11" fillId="0" borderId="36" xfId="3" applyFont="1" applyFill="1" applyBorder="1" applyAlignment="1">
      <alignment horizontal="left" vertical="center" wrapText="1"/>
    </xf>
    <xf numFmtId="167" fontId="11" fillId="0" borderId="36" xfId="2" applyNumberFormat="1" applyFont="1" applyFill="1" applyBorder="1" applyAlignment="1">
      <alignment vertical="center"/>
    </xf>
    <xf numFmtId="10" fontId="11" fillId="0" borderId="38" xfId="2083" applyNumberFormat="1" applyFont="1" applyFill="1" applyBorder="1" applyAlignment="1">
      <alignment vertical="center"/>
    </xf>
    <xf numFmtId="167" fontId="11" fillId="0" borderId="37" xfId="2" applyNumberFormat="1" applyFont="1" applyFill="1" applyBorder="1" applyAlignment="1">
      <alignment vertical="center"/>
    </xf>
    <xf numFmtId="10" fontId="11" fillId="0" borderId="41" xfId="2083" applyNumberFormat="1" applyFont="1" applyFill="1" applyBorder="1" applyAlignment="1">
      <alignment vertical="center"/>
    </xf>
    <xf numFmtId="167" fontId="13" fillId="19" borderId="17" xfId="5" applyFont="1" applyFill="1" applyBorder="1" applyAlignment="1">
      <alignment horizontal="center" vertical="center"/>
    </xf>
    <xf numFmtId="0" fontId="11" fillId="0" borderId="64" xfId="6" applyFont="1" applyFill="1" applyBorder="1" applyAlignment="1">
      <alignment vertical="center"/>
    </xf>
    <xf numFmtId="167" fontId="11" fillId="0" borderId="16" xfId="5" applyFont="1" applyFill="1" applyBorder="1" applyAlignment="1">
      <alignment vertical="center"/>
    </xf>
    <xf numFmtId="167" fontId="11" fillId="0" borderId="36" xfId="3" applyFont="1" applyFill="1" applyBorder="1" applyAlignment="1">
      <alignment horizontal="left" vertical="center"/>
    </xf>
    <xf numFmtId="167" fontId="11" fillId="0" borderId="57" xfId="3" quotePrefix="1" applyFont="1" applyFill="1" applyBorder="1" applyAlignment="1">
      <alignment horizontal="left" vertical="center"/>
    </xf>
    <xf numFmtId="167" fontId="11" fillId="0" borderId="44" xfId="3" applyFont="1" applyFill="1" applyBorder="1" applyAlignment="1">
      <alignment horizontal="left" vertical="center"/>
    </xf>
    <xf numFmtId="167" fontId="11" fillId="0" borderId="44" xfId="2" applyNumberFormat="1" applyFont="1" applyFill="1" applyBorder="1" applyAlignment="1">
      <alignment vertical="center"/>
    </xf>
    <xf numFmtId="10" fontId="11" fillId="0" borderId="42" xfId="2083" applyNumberFormat="1" applyFont="1" applyFill="1" applyBorder="1" applyAlignment="1">
      <alignment vertical="center"/>
    </xf>
    <xf numFmtId="43" fontId="3" fillId="0" borderId="0" xfId="6" applyNumberFormat="1" applyFont="1" applyFill="1" applyAlignment="1">
      <alignment vertical="center"/>
    </xf>
    <xf numFmtId="169" fontId="13" fillId="0" borderId="0" xfId="1" applyNumberFormat="1" applyFont="1" applyFill="1" applyAlignment="1">
      <alignment vertical="center"/>
    </xf>
    <xf numFmtId="169" fontId="13" fillId="0" borderId="0" xfId="1" applyNumberFormat="1" applyFont="1" applyFill="1" applyAlignment="1">
      <alignment vertical="center" wrapText="1"/>
    </xf>
    <xf numFmtId="169" fontId="57" fillId="0" borderId="0" xfId="1" applyNumberFormat="1" applyFont="1" applyFill="1" applyBorder="1" applyAlignment="1">
      <alignment horizontal="center" vertical="center"/>
    </xf>
    <xf numFmtId="169" fontId="11" fillId="0" borderId="0" xfId="1" applyNumberFormat="1" applyFont="1" applyFill="1" applyAlignment="1">
      <alignment vertical="center"/>
    </xf>
    <xf numFmtId="167" fontId="11" fillId="19" borderId="17" xfId="2" applyNumberFormat="1" applyFont="1" applyFill="1" applyBorder="1" applyAlignment="1">
      <alignment vertical="center"/>
    </xf>
    <xf numFmtId="10" fontId="11" fillId="19" borderId="19" xfId="2083" applyNumberFormat="1" applyFont="1" applyFill="1" applyBorder="1" applyAlignment="1">
      <alignment vertical="center"/>
    </xf>
    <xf numFmtId="10" fontId="14" fillId="0" borderId="19" xfId="2" applyNumberFormat="1" applyFont="1" applyFill="1" applyBorder="1" applyAlignment="1">
      <alignment vertical="center"/>
    </xf>
    <xf numFmtId="10" fontId="16" fillId="0" borderId="19" xfId="2" applyNumberFormat="1" applyFont="1" applyFill="1" applyBorder="1" applyAlignment="1">
      <alignment vertical="center"/>
    </xf>
    <xf numFmtId="0" fontId="67" fillId="0" borderId="0" xfId="6" applyFont="1" applyFill="1" applyAlignment="1">
      <alignment vertical="center"/>
    </xf>
    <xf numFmtId="167" fontId="68" fillId="0" borderId="0" xfId="3" applyFont="1" applyFill="1" applyAlignment="1">
      <alignment vertical="center"/>
    </xf>
    <xf numFmtId="43" fontId="68" fillId="0" borderId="0" xfId="6" applyNumberFormat="1" applyFont="1" applyFill="1" applyAlignment="1">
      <alignment vertical="center"/>
    </xf>
    <xf numFmtId="0" fontId="68" fillId="0" borderId="0" xfId="6" applyFont="1" applyFill="1" applyAlignment="1">
      <alignment vertical="center"/>
    </xf>
    <xf numFmtId="0" fontId="11" fillId="0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65" fillId="0" borderId="0" xfId="0" applyFont="1" applyAlignment="1">
      <alignment horizontal="left" vertical="center"/>
    </xf>
    <xf numFmtId="10" fontId="59" fillId="0" borderId="41" xfId="2083" applyNumberFormat="1" applyFont="1" applyFill="1" applyBorder="1" applyAlignment="1">
      <alignment vertical="center"/>
    </xf>
    <xf numFmtId="0" fontId="69" fillId="0" borderId="0" xfId="2" applyFont="1" applyFill="1" applyAlignment="1">
      <alignment vertical="center"/>
    </xf>
    <xf numFmtId="0" fontId="69" fillId="0" borderId="0" xfId="2" applyFont="1" applyFill="1" applyAlignment="1">
      <alignment horizontal="left"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65" fillId="0" borderId="0" xfId="0" applyFont="1" applyAlignment="1">
      <alignment horizontal="left" vertical="center"/>
    </xf>
    <xf numFmtId="168" fontId="13" fillId="19" borderId="16" xfId="5" applyNumberFormat="1" applyFont="1" applyFill="1" applyBorder="1" applyAlignment="1">
      <alignment horizontal="left" vertical="center"/>
    </xf>
    <xf numFmtId="167" fontId="19" fillId="0" borderId="0" xfId="3" applyFont="1" applyFill="1" applyAlignment="1">
      <alignment vertical="center"/>
    </xf>
    <xf numFmtId="0" fontId="19" fillId="0" borderId="0" xfId="6" applyFont="1" applyFill="1" applyAlignment="1">
      <alignment vertical="center"/>
    </xf>
    <xf numFmtId="43" fontId="19" fillId="0" borderId="0" xfId="6" applyNumberFormat="1" applyFont="1" applyFill="1" applyAlignment="1">
      <alignment vertical="center"/>
    </xf>
    <xf numFmtId="167" fontId="18" fillId="0" borderId="0" xfId="3" applyFont="1" applyFill="1" applyAlignment="1">
      <alignment vertical="center"/>
    </xf>
    <xf numFmtId="0" fontId="18" fillId="0" borderId="0" xfId="6" applyFont="1" applyFill="1" applyAlignment="1">
      <alignment vertical="center"/>
    </xf>
    <xf numFmtId="167" fontId="17" fillId="0" borderId="17" xfId="3" applyFont="1" applyFill="1" applyBorder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167" fontId="11" fillId="18" borderId="17" xfId="2" applyNumberFormat="1" applyFont="1" applyFill="1" applyBorder="1" applyAlignment="1">
      <alignment vertical="center"/>
    </xf>
    <xf numFmtId="167" fontId="11" fillId="72" borderId="17" xfId="2" applyNumberFormat="1" applyFont="1" applyFill="1" applyBorder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43" fontId="18" fillId="0" borderId="0" xfId="6" applyNumberFormat="1" applyFont="1" applyFill="1" applyAlignment="1">
      <alignment vertical="center"/>
    </xf>
    <xf numFmtId="167" fontId="3" fillId="0" borderId="0" xfId="6" applyNumberFormat="1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3" fillId="19" borderId="16" xfId="2" applyFont="1" applyFill="1" applyBorder="1" applyAlignment="1">
      <alignment horizontal="center" vertical="center"/>
    </xf>
    <xf numFmtId="167" fontId="11" fillId="0" borderId="34" xfId="3" quotePrefix="1" applyFont="1" applyFill="1" applyBorder="1" applyAlignment="1">
      <alignment horizontal="center" vertical="center"/>
    </xf>
    <xf numFmtId="167" fontId="11" fillId="0" borderId="39" xfId="3" quotePrefix="1" applyFont="1" applyFill="1" applyBorder="1" applyAlignment="1">
      <alignment horizontal="center" vertical="center"/>
    </xf>
    <xf numFmtId="167" fontId="13" fillId="0" borderId="39" xfId="3" quotePrefix="1" applyFont="1" applyFill="1" applyBorder="1" applyAlignment="1">
      <alignment horizontal="center" vertical="center"/>
    </xf>
    <xf numFmtId="167" fontId="11" fillId="0" borderId="43" xfId="3" quotePrefix="1" applyFont="1" applyFill="1" applyBorder="1" applyAlignment="1">
      <alignment horizontal="center" vertical="center"/>
    </xf>
    <xf numFmtId="167" fontId="13" fillId="0" borderId="34" xfId="3" applyFont="1" applyFill="1" applyBorder="1" applyAlignment="1">
      <alignment horizontal="center" vertical="center"/>
    </xf>
    <xf numFmtId="0" fontId="66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169" fontId="19" fillId="0" borderId="0" xfId="1" applyNumberFormat="1" applyFont="1" applyFill="1" applyAlignment="1">
      <alignment vertical="center"/>
    </xf>
    <xf numFmtId="169" fontId="59" fillId="0" borderId="0" xfId="1" applyNumberFormat="1" applyFont="1" applyFill="1" applyAlignment="1">
      <alignment vertical="center"/>
    </xf>
    <xf numFmtId="169" fontId="3" fillId="0" borderId="0" xfId="1" applyNumberFormat="1" applyFont="1" applyFill="1" applyAlignment="1">
      <alignment vertical="center"/>
    </xf>
    <xf numFmtId="169" fontId="16" fillId="0" borderId="0" xfId="1" applyNumberFormat="1" applyFont="1" applyFill="1" applyAlignment="1">
      <alignment vertical="center"/>
    </xf>
    <xf numFmtId="169" fontId="72" fillId="0" borderId="0" xfId="1" applyNumberFormat="1" applyFont="1" applyFill="1" applyBorder="1" applyAlignment="1">
      <alignment horizontal="center" vertical="center"/>
    </xf>
    <xf numFmtId="169" fontId="17" fillId="0" borderId="0" xfId="1" applyNumberFormat="1" applyFont="1" applyFill="1" applyAlignment="1">
      <alignment vertical="center"/>
    </xf>
    <xf numFmtId="43" fontId="13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173" fontId="16" fillId="0" borderId="0" xfId="1" applyNumberFormat="1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167" fontId="13" fillId="0" borderId="15" xfId="7" applyFont="1" applyFill="1" applyBorder="1" applyAlignment="1">
      <alignment vertical="center"/>
    </xf>
    <xf numFmtId="167" fontId="73" fillId="0" borderId="17" xfId="1019" applyFont="1" applyFill="1" applyBorder="1" applyAlignment="1">
      <alignment vertical="center"/>
    </xf>
    <xf numFmtId="0" fontId="66" fillId="0" borderId="0" xfId="2" applyFont="1" applyFill="1" applyBorder="1" applyAlignment="1">
      <alignment horizontal="left" vertical="center"/>
    </xf>
    <xf numFmtId="167" fontId="17" fillId="0" borderId="18" xfId="5" applyFont="1" applyFill="1" applyBorder="1" applyAlignment="1">
      <alignment vertical="center"/>
    </xf>
    <xf numFmtId="169" fontId="68" fillId="0" borderId="0" xfId="1" applyNumberFormat="1" applyFont="1" applyFill="1" applyAlignment="1">
      <alignment vertical="center"/>
    </xf>
    <xf numFmtId="167" fontId="16" fillId="0" borderId="18" xfId="5" quotePrefix="1" applyFont="1" applyFill="1" applyBorder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6" fillId="0" borderId="0" xfId="2" applyFont="1" applyFill="1" applyAlignment="1">
      <alignment vertical="center"/>
    </xf>
    <xf numFmtId="0" fontId="11" fillId="15" borderId="11" xfId="2" applyFont="1" applyFill="1" applyBorder="1" applyAlignment="1">
      <alignment horizontal="center" vertical="center" wrapText="1"/>
    </xf>
    <xf numFmtId="0" fontId="11" fillId="15" borderId="14" xfId="2" applyFont="1" applyFill="1" applyBorder="1" applyAlignment="1">
      <alignment horizontal="center" vertical="center" wrapText="1"/>
    </xf>
    <xf numFmtId="0" fontId="11" fillId="15" borderId="11" xfId="2" applyFont="1" applyFill="1" applyBorder="1" applyAlignment="1">
      <alignment horizontal="center" vertical="center"/>
    </xf>
    <xf numFmtId="0" fontId="11" fillId="15" borderId="69" xfId="2" applyFont="1" applyFill="1" applyBorder="1" applyAlignment="1">
      <alignment horizontal="center" vertical="center"/>
    </xf>
    <xf numFmtId="0" fontId="61" fillId="0" borderId="0" xfId="2" applyFont="1" applyFill="1" applyBorder="1" applyAlignment="1">
      <alignment horizontal="right" vertical="center"/>
    </xf>
    <xf numFmtId="0" fontId="11" fillId="15" borderId="59" xfId="2" applyFont="1" applyFill="1" applyBorder="1" applyAlignment="1">
      <alignment horizontal="center" vertical="center"/>
    </xf>
    <xf numFmtId="0" fontId="11" fillId="15" borderId="70" xfId="2" applyFont="1" applyFill="1" applyBorder="1" applyAlignment="1">
      <alignment horizontal="center" vertical="center"/>
    </xf>
    <xf numFmtId="10" fontId="12" fillId="16" borderId="15" xfId="2" applyNumberFormat="1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10" fontId="11" fillId="0" borderId="18" xfId="2" applyNumberFormat="1" applyFont="1" applyFill="1" applyBorder="1" applyAlignment="1">
      <alignment vertical="center"/>
    </xf>
    <xf numFmtId="10" fontId="11" fillId="19" borderId="18" xfId="2" applyNumberFormat="1" applyFont="1" applyFill="1" applyBorder="1" applyAlignment="1">
      <alignment vertical="center"/>
    </xf>
    <xf numFmtId="10" fontId="13" fillId="0" borderId="18" xfId="2" applyNumberFormat="1" applyFont="1" applyFill="1" applyBorder="1" applyAlignment="1">
      <alignment vertical="center"/>
    </xf>
    <xf numFmtId="10" fontId="14" fillId="0" borderId="18" xfId="2" applyNumberFormat="1" applyFont="1" applyFill="1" applyBorder="1" applyAlignment="1">
      <alignment vertical="center"/>
    </xf>
    <xf numFmtId="10" fontId="16" fillId="0" borderId="18" xfId="2" applyNumberFormat="1" applyFont="1" applyFill="1" applyBorder="1" applyAlignment="1">
      <alignment vertical="center"/>
    </xf>
    <xf numFmtId="10" fontId="59" fillId="0" borderId="18" xfId="2" applyNumberFormat="1" applyFont="1" applyFill="1" applyBorder="1" applyAlignment="1">
      <alignment vertical="center"/>
    </xf>
    <xf numFmtId="10" fontId="11" fillId="71" borderId="18" xfId="2" applyNumberFormat="1" applyFont="1" applyFill="1" applyBorder="1" applyAlignment="1">
      <alignment vertical="center"/>
    </xf>
    <xf numFmtId="10" fontId="11" fillId="18" borderId="18" xfId="2" applyNumberFormat="1" applyFont="1" applyFill="1" applyBorder="1" applyAlignment="1">
      <alignment vertical="center"/>
    </xf>
    <xf numFmtId="10" fontId="11" fillId="72" borderId="18" xfId="2" applyNumberFormat="1" applyFont="1" applyFill="1" applyBorder="1" applyAlignment="1">
      <alignment vertical="center"/>
    </xf>
    <xf numFmtId="10" fontId="3" fillId="0" borderId="18" xfId="2" applyNumberFormat="1" applyFont="1" applyFill="1" applyBorder="1" applyAlignment="1">
      <alignment vertical="center"/>
    </xf>
    <xf numFmtId="10" fontId="58" fillId="0" borderId="18" xfId="2" applyNumberFormat="1" applyFont="1" applyFill="1" applyBorder="1" applyAlignment="1">
      <alignment vertical="center"/>
    </xf>
    <xf numFmtId="10" fontId="11" fillId="18" borderId="22" xfId="2" applyNumberFormat="1" applyFont="1" applyFill="1" applyBorder="1" applyAlignment="1">
      <alignment vertical="center"/>
    </xf>
    <xf numFmtId="167" fontId="11" fillId="0" borderId="68" xfId="2" applyNumberFormat="1" applyFont="1" applyFill="1" applyBorder="1" applyAlignment="1">
      <alignment vertical="center"/>
    </xf>
    <xf numFmtId="167" fontId="13" fillId="0" borderId="68" xfId="2" applyNumberFormat="1" applyFont="1" applyFill="1" applyBorder="1" applyAlignment="1">
      <alignment vertical="center"/>
    </xf>
    <xf numFmtId="167" fontId="13" fillId="0" borderId="68" xfId="2" applyNumberFormat="1" applyFont="1" applyFill="1" applyBorder="1" applyAlignment="1">
      <alignment horizontal="center" vertical="center"/>
    </xf>
    <xf numFmtId="10" fontId="11" fillId="19" borderId="18" xfId="2083" applyNumberFormat="1" applyFont="1" applyFill="1" applyBorder="1" applyAlignment="1">
      <alignment vertical="center"/>
    </xf>
    <xf numFmtId="10" fontId="11" fillId="71" borderId="18" xfId="2083" applyNumberFormat="1" applyFont="1" applyFill="1" applyBorder="1" applyAlignment="1">
      <alignment vertical="center"/>
    </xf>
    <xf numFmtId="10" fontId="11" fillId="0" borderId="36" xfId="2083" applyNumberFormat="1" applyFont="1" applyFill="1" applyBorder="1" applyAlignment="1">
      <alignment vertical="center"/>
    </xf>
    <xf numFmtId="10" fontId="11" fillId="0" borderId="44" xfId="2083" applyNumberFormat="1" applyFont="1" applyFill="1" applyBorder="1" applyAlignment="1">
      <alignment vertical="center"/>
    </xf>
    <xf numFmtId="10" fontId="13" fillId="0" borderId="44" xfId="2083" applyNumberFormat="1" applyFont="1" applyFill="1" applyBorder="1" applyAlignment="1">
      <alignment vertical="center"/>
    </xf>
    <xf numFmtId="10" fontId="11" fillId="18" borderId="18" xfId="2083" applyNumberFormat="1" applyFont="1" applyFill="1" applyBorder="1" applyAlignment="1">
      <alignment vertical="center"/>
    </xf>
    <xf numFmtId="10" fontId="11" fillId="72" borderId="18" xfId="2083" applyNumberFormat="1" applyFont="1" applyFill="1" applyBorder="1" applyAlignment="1">
      <alignment vertical="center"/>
    </xf>
    <xf numFmtId="10" fontId="13" fillId="0" borderId="36" xfId="2083" applyNumberFormat="1" applyFont="1" applyFill="1" applyBorder="1" applyAlignment="1">
      <alignment vertical="center"/>
    </xf>
    <xf numFmtId="10" fontId="11" fillId="0" borderId="37" xfId="2083" applyNumberFormat="1" applyFont="1" applyFill="1" applyBorder="1" applyAlignment="1">
      <alignment vertical="center"/>
    </xf>
    <xf numFmtId="10" fontId="59" fillId="0" borderId="37" xfId="2083" applyNumberFormat="1" applyFont="1" applyFill="1" applyBorder="1" applyAlignment="1">
      <alignment vertical="center"/>
    </xf>
    <xf numFmtId="10" fontId="11" fillId="19" borderId="47" xfId="2083" applyNumberFormat="1" applyFont="1" applyFill="1" applyBorder="1" applyAlignment="1">
      <alignment vertical="center"/>
    </xf>
    <xf numFmtId="167" fontId="11" fillId="0" borderId="18" xfId="7" applyFont="1" applyFill="1" applyBorder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10" fontId="58" fillId="18" borderId="19" xfId="2" applyNumberFormat="1" applyFont="1" applyFill="1" applyBorder="1" applyAlignment="1">
      <alignment vertical="center"/>
    </xf>
    <xf numFmtId="10" fontId="58" fillId="19" borderId="19" xfId="2" applyNumberFormat="1" applyFont="1" applyFill="1" applyBorder="1" applyAlignment="1">
      <alignment vertical="center"/>
    </xf>
    <xf numFmtId="10" fontId="58" fillId="72" borderId="19" xfId="2083" applyNumberFormat="1" applyFont="1" applyFill="1" applyBorder="1" applyAlignment="1">
      <alignment vertical="center"/>
    </xf>
    <xf numFmtId="10" fontId="58" fillId="71" borderId="19" xfId="2083" applyNumberFormat="1" applyFont="1" applyFill="1" applyBorder="1" applyAlignment="1">
      <alignment vertical="center"/>
    </xf>
    <xf numFmtId="10" fontId="58" fillId="0" borderId="38" xfId="2083" applyNumberFormat="1" applyFont="1" applyFill="1" applyBorder="1" applyAlignment="1">
      <alignment vertical="center"/>
    </xf>
    <xf numFmtId="10" fontId="58" fillId="0" borderId="41" xfId="2083" applyNumberFormat="1" applyFont="1" applyFill="1" applyBorder="1" applyAlignment="1">
      <alignment vertical="center"/>
    </xf>
    <xf numFmtId="167" fontId="14" fillId="0" borderId="17" xfId="1019" applyFont="1" applyFill="1" applyBorder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165" fontId="3" fillId="0" borderId="0" xfId="1" applyFont="1" applyFill="1" applyAlignment="1">
      <alignment vertical="center" wrapText="1"/>
    </xf>
    <xf numFmtId="165" fontId="10" fillId="0" borderId="0" xfId="1" applyFont="1" applyFill="1" applyAlignment="1">
      <alignment vertical="center"/>
    </xf>
    <xf numFmtId="165" fontId="68" fillId="0" borderId="0" xfId="1" applyFont="1" applyFill="1" applyAlignment="1">
      <alignment vertical="center"/>
    </xf>
    <xf numFmtId="165" fontId="67" fillId="0" borderId="0" xfId="1" applyFont="1" applyFill="1" applyAlignment="1">
      <alignment vertical="center"/>
    </xf>
    <xf numFmtId="165" fontId="19" fillId="0" borderId="0" xfId="1" applyFont="1" applyFill="1" applyAlignment="1">
      <alignment vertical="center"/>
    </xf>
    <xf numFmtId="165" fontId="7" fillId="0" borderId="0" xfId="1" applyFont="1" applyFill="1" applyAlignment="1">
      <alignment vertical="center"/>
    </xf>
    <xf numFmtId="167" fontId="19" fillId="0" borderId="17" xfId="3" applyFont="1" applyFill="1" applyBorder="1" applyAlignment="1">
      <alignment vertical="center"/>
    </xf>
    <xf numFmtId="167" fontId="14" fillId="19" borderId="17" xfId="3" applyFont="1" applyFill="1" applyBorder="1" applyAlignment="1">
      <alignment vertical="center"/>
    </xf>
    <xf numFmtId="167" fontId="16" fillId="0" borderId="13" xfId="3" applyFont="1" applyFill="1" applyBorder="1" applyAlignment="1">
      <alignment vertical="center"/>
    </xf>
    <xf numFmtId="169" fontId="14" fillId="18" borderId="17" xfId="8" applyNumberFormat="1" applyFont="1" applyFill="1" applyBorder="1" applyAlignment="1">
      <alignment vertical="center"/>
    </xf>
    <xf numFmtId="169" fontId="14" fillId="70" borderId="17" xfId="8" applyNumberFormat="1" applyFont="1" applyFill="1" applyBorder="1" applyAlignment="1">
      <alignment vertical="center"/>
    </xf>
    <xf numFmtId="169" fontId="16" fillId="0" borderId="17" xfId="8" applyNumberFormat="1" applyFont="1" applyFill="1" applyBorder="1" applyAlignment="1">
      <alignment vertical="center"/>
    </xf>
    <xf numFmtId="167" fontId="14" fillId="71" borderId="17" xfId="3" applyFont="1" applyFill="1" applyBorder="1" applyAlignment="1">
      <alignment vertical="center"/>
    </xf>
    <xf numFmtId="167" fontId="16" fillId="0" borderId="17" xfId="5" applyFont="1" applyFill="1" applyBorder="1" applyAlignment="1">
      <alignment vertical="center"/>
    </xf>
    <xf numFmtId="169" fontId="14" fillId="0" borderId="17" xfId="8" applyNumberFormat="1" applyFont="1" applyFill="1" applyBorder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165" fontId="13" fillId="0" borderId="0" xfId="1" applyFont="1" applyFill="1" applyAlignment="1">
      <alignment vertical="center"/>
    </xf>
    <xf numFmtId="165" fontId="16" fillId="0" borderId="0" xfId="1" applyFont="1" applyFill="1" applyAlignment="1">
      <alignment vertical="center"/>
    </xf>
    <xf numFmtId="10" fontId="14" fillId="18" borderId="19" xfId="2" applyNumberFormat="1" applyFont="1" applyFill="1" applyBorder="1" applyAlignment="1">
      <alignment vertical="center"/>
    </xf>
    <xf numFmtId="10" fontId="14" fillId="72" borderId="19" xfId="2083" applyNumberFormat="1" applyFont="1" applyFill="1" applyBorder="1" applyAlignment="1">
      <alignment vertical="center"/>
    </xf>
    <xf numFmtId="43" fontId="7" fillId="0" borderId="0" xfId="6" applyNumberFormat="1" applyFont="1" applyFill="1" applyAlignment="1">
      <alignment vertical="center"/>
    </xf>
    <xf numFmtId="0" fontId="74" fillId="0" borderId="0" xfId="2" applyFont="1" applyFill="1" applyBorder="1" applyAlignment="1">
      <alignment horizontal="left" vertical="center"/>
    </xf>
    <xf numFmtId="0" fontId="75" fillId="0" borderId="0" xfId="2" applyFont="1" applyFill="1" applyBorder="1" applyAlignment="1">
      <alignment horizontal="left" vertical="center"/>
    </xf>
    <xf numFmtId="169" fontId="19" fillId="0" borderId="0" xfId="3" applyNumberFormat="1" applyFont="1" applyFill="1" applyAlignment="1">
      <alignment vertical="center"/>
    </xf>
    <xf numFmtId="167" fontId="19" fillId="0" borderId="0" xfId="3" applyFont="1" applyFill="1" applyAlignment="1">
      <alignment vertical="center" wrapText="1"/>
    </xf>
    <xf numFmtId="167" fontId="76" fillId="0" borderId="0" xfId="3" applyFont="1" applyFill="1" applyAlignment="1">
      <alignment vertical="center"/>
    </xf>
    <xf numFmtId="167" fontId="19" fillId="0" borderId="0" xfId="3" applyFont="1" applyFill="1" applyAlignment="1">
      <alignment horizontal="center" vertical="center"/>
    </xf>
    <xf numFmtId="0" fontId="19" fillId="0" borderId="0" xfId="4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65" fillId="0" borderId="0" xfId="2" applyFont="1" applyFill="1" applyAlignment="1">
      <alignment vertical="center"/>
    </xf>
    <xf numFmtId="0" fontId="19" fillId="0" borderId="0" xfId="4" applyFont="1" applyFill="1" applyAlignment="1">
      <alignment vertical="center" wrapText="1"/>
    </xf>
    <xf numFmtId="0" fontId="76" fillId="0" borderId="0" xfId="6" applyFont="1" applyFill="1" applyAlignment="1">
      <alignment vertical="center"/>
    </xf>
    <xf numFmtId="0" fontId="19" fillId="0" borderId="0" xfId="6" applyFont="1" applyFill="1" applyAlignment="1">
      <alignment horizontal="center" vertical="center"/>
    </xf>
    <xf numFmtId="4" fontId="4" fillId="0" borderId="0" xfId="6" applyNumberFormat="1" applyFont="1" applyFill="1" applyAlignment="1">
      <alignment vertical="center"/>
    </xf>
    <xf numFmtId="0" fontId="11" fillId="15" borderId="9" xfId="2" applyFont="1" applyFill="1" applyBorder="1" applyAlignment="1">
      <alignment horizontal="center" vertical="center" wrapText="1"/>
    </xf>
    <xf numFmtId="0" fontId="11" fillId="15" borderId="12" xfId="2" applyFont="1" applyFill="1" applyBorder="1" applyAlignment="1">
      <alignment horizontal="center" vertical="center" wrapText="1"/>
    </xf>
    <xf numFmtId="0" fontId="11" fillId="15" borderId="10" xfId="2" applyFont="1" applyFill="1" applyBorder="1" applyAlignment="1">
      <alignment horizontal="center" vertical="center" wrapText="1"/>
    </xf>
    <xf numFmtId="0" fontId="11" fillId="15" borderId="13" xfId="2" applyFont="1" applyFill="1" applyBorder="1" applyAlignment="1">
      <alignment horizontal="center" vertical="center" wrapText="1"/>
    </xf>
    <xf numFmtId="0" fontId="11" fillId="15" borderId="63" xfId="2" applyFont="1" applyFill="1" applyBorder="1" applyAlignment="1">
      <alignment horizontal="center" vertical="center" wrapText="1"/>
    </xf>
    <xf numFmtId="0" fontId="11" fillId="15" borderId="23" xfId="2" applyFont="1" applyFill="1" applyBorder="1" applyAlignment="1">
      <alignment horizontal="center" vertical="center" wrapText="1"/>
    </xf>
    <xf numFmtId="0" fontId="11" fillId="15" borderId="62" xfId="2" applyFont="1" applyFill="1" applyBorder="1" applyAlignment="1">
      <alignment horizontal="center" vertical="center" wrapText="1"/>
    </xf>
    <xf numFmtId="0" fontId="11" fillId="15" borderId="60" xfId="2" applyFont="1" applyFill="1" applyBorder="1" applyAlignment="1">
      <alignment horizontal="center" vertical="center" wrapText="1"/>
    </xf>
    <xf numFmtId="0" fontId="11" fillId="15" borderId="61" xfId="2" applyFont="1" applyFill="1" applyBorder="1" applyAlignment="1">
      <alignment horizontal="center" vertical="center" wrapText="1"/>
    </xf>
    <xf numFmtId="0" fontId="62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61" fillId="0" borderId="67" xfId="2" applyFont="1" applyFill="1" applyBorder="1" applyAlignment="1">
      <alignment horizontal="right" vertical="center"/>
    </xf>
    <xf numFmtId="0" fontId="63" fillId="0" borderId="0" xfId="2" applyFont="1" applyFill="1" applyBorder="1" applyAlignment="1">
      <alignment horizontal="right" vertical="center"/>
    </xf>
    <xf numFmtId="167" fontId="11" fillId="18" borderId="55" xfId="3" applyFont="1" applyFill="1" applyBorder="1" applyAlignment="1">
      <alignment horizontal="center" vertical="center"/>
    </xf>
    <xf numFmtId="167" fontId="11" fillId="18" borderId="56" xfId="3" applyFont="1" applyFill="1" applyBorder="1" applyAlignment="1">
      <alignment horizontal="center" vertical="center"/>
    </xf>
    <xf numFmtId="0" fontId="64" fillId="0" borderId="0" xfId="2" applyFont="1" applyFill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15" borderId="11" xfId="2" applyFont="1" applyFill="1" applyBorder="1" applyAlignment="1">
      <alignment horizontal="center" vertical="center" wrapText="1"/>
    </xf>
    <xf numFmtId="0" fontId="11" fillId="15" borderId="14" xfId="2" applyFont="1" applyFill="1" applyBorder="1" applyAlignment="1">
      <alignment horizontal="center" vertical="center" wrapText="1"/>
    </xf>
  </cellXfs>
  <cellStyles count="2152">
    <cellStyle name="20% - Accent1 2" xfId="9"/>
    <cellStyle name="20% - Accent1 3" xfId="10"/>
    <cellStyle name="20% - Accent1 3 2" xfId="11"/>
    <cellStyle name="20% - Accent1 3 2 2" xfId="12"/>
    <cellStyle name="20% - Accent1 3 3" xfId="13"/>
    <cellStyle name="20% - Accent1 4" xfId="14"/>
    <cellStyle name="20% - Accent1 4 10" xfId="15"/>
    <cellStyle name="20% - Accent1 4 11" xfId="16"/>
    <cellStyle name="20% - Accent1 4 12" xfId="17"/>
    <cellStyle name="20% - Accent1 4 13" xfId="18"/>
    <cellStyle name="20% - Accent1 4 14" xfId="19"/>
    <cellStyle name="20% - Accent1 4 15" xfId="20"/>
    <cellStyle name="20% - Accent1 4 16" xfId="21"/>
    <cellStyle name="20% - Accent1 4 17" xfId="22"/>
    <cellStyle name="20% - Accent1 4 18" xfId="23"/>
    <cellStyle name="20% - Accent1 4 19" xfId="24"/>
    <cellStyle name="20% - Accent1 4 2" xfId="25"/>
    <cellStyle name="20% - Accent1 4 20" xfId="26"/>
    <cellStyle name="20% - Accent1 4 21" xfId="27"/>
    <cellStyle name="20% - Accent1 4 22" xfId="28"/>
    <cellStyle name="20% - Accent1 4 23" xfId="29"/>
    <cellStyle name="20% - Accent1 4 24" xfId="30"/>
    <cellStyle name="20% - Accent1 4 25" xfId="31"/>
    <cellStyle name="20% - Accent1 4 26" xfId="32"/>
    <cellStyle name="20% - Accent1 4 27" xfId="33"/>
    <cellStyle name="20% - Accent1 4 28" xfId="34"/>
    <cellStyle name="20% - Accent1 4 29" xfId="35"/>
    <cellStyle name="20% - Accent1 4 3" xfId="36"/>
    <cellStyle name="20% - Accent1 4 30" xfId="37"/>
    <cellStyle name="20% - Accent1 4 31" xfId="38"/>
    <cellStyle name="20% - Accent1 4 32" xfId="39"/>
    <cellStyle name="20% - Accent1 4 33" xfId="40"/>
    <cellStyle name="20% - Accent1 4 34" xfId="41"/>
    <cellStyle name="20% - Accent1 4 35" xfId="42"/>
    <cellStyle name="20% - Accent1 4 36" xfId="43"/>
    <cellStyle name="20% - Accent1 4 37" xfId="44"/>
    <cellStyle name="20% - Accent1 4 38" xfId="45"/>
    <cellStyle name="20% - Accent1 4 39" xfId="46"/>
    <cellStyle name="20% - Accent1 4 4" xfId="47"/>
    <cellStyle name="20% - Accent1 4 40" xfId="48"/>
    <cellStyle name="20% - Accent1 4 41" xfId="49"/>
    <cellStyle name="20% - Accent1 4 42" xfId="50"/>
    <cellStyle name="20% - Accent1 4 43" xfId="51"/>
    <cellStyle name="20% - Accent1 4 44" xfId="52"/>
    <cellStyle name="20% - Accent1 4 45" xfId="53"/>
    <cellStyle name="20% - Accent1 4 46" xfId="54"/>
    <cellStyle name="20% - Accent1 4 47" xfId="55"/>
    <cellStyle name="20% - Accent1 4 48" xfId="56"/>
    <cellStyle name="20% - Accent1 4 49" xfId="57"/>
    <cellStyle name="20% - Accent1 4 5" xfId="58"/>
    <cellStyle name="20% - Accent1 4 50" xfId="59"/>
    <cellStyle name="20% - Accent1 4 51" xfId="60"/>
    <cellStyle name="20% - Accent1 4 52" xfId="61"/>
    <cellStyle name="20% - Accent1 4 53" xfId="62"/>
    <cellStyle name="20% - Accent1 4 54" xfId="63"/>
    <cellStyle name="20% - Accent1 4 55" xfId="64"/>
    <cellStyle name="20% - Accent1 4 56" xfId="65"/>
    <cellStyle name="20% - Accent1 4 57" xfId="66"/>
    <cellStyle name="20% - Accent1 4 58" xfId="67"/>
    <cellStyle name="20% - Accent1 4 59" xfId="68"/>
    <cellStyle name="20% - Accent1 4 6" xfId="69"/>
    <cellStyle name="20% - Accent1 4 60" xfId="70"/>
    <cellStyle name="20% - Accent1 4 61" xfId="71"/>
    <cellStyle name="20% - Accent1 4 62" xfId="72"/>
    <cellStyle name="20% - Accent1 4 63" xfId="73"/>
    <cellStyle name="20% - Accent1 4 64" xfId="74"/>
    <cellStyle name="20% - Accent1 4 7" xfId="75"/>
    <cellStyle name="20% - Accent1 4 8" xfId="76"/>
    <cellStyle name="20% - Accent1 4 9" xfId="77"/>
    <cellStyle name="20% - Accent2 2" xfId="78"/>
    <cellStyle name="20% - Accent2 3" xfId="79"/>
    <cellStyle name="20% - Accent2 3 2" xfId="80"/>
    <cellStyle name="20% - Accent2 3 2 2" xfId="81"/>
    <cellStyle name="20% - Accent2 3 3" xfId="82"/>
    <cellStyle name="20% - Accent2 4" xfId="83"/>
    <cellStyle name="20% - Accent2 4 10" xfId="84"/>
    <cellStyle name="20% - Accent2 4 11" xfId="85"/>
    <cellStyle name="20% - Accent2 4 12" xfId="86"/>
    <cellStyle name="20% - Accent2 4 13" xfId="87"/>
    <cellStyle name="20% - Accent2 4 14" xfId="88"/>
    <cellStyle name="20% - Accent2 4 15" xfId="89"/>
    <cellStyle name="20% - Accent2 4 16" xfId="90"/>
    <cellStyle name="20% - Accent2 4 17" xfId="91"/>
    <cellStyle name="20% - Accent2 4 18" xfId="92"/>
    <cellStyle name="20% - Accent2 4 19" xfId="93"/>
    <cellStyle name="20% - Accent2 4 2" xfId="94"/>
    <cellStyle name="20% - Accent2 4 20" xfId="95"/>
    <cellStyle name="20% - Accent2 4 21" xfId="96"/>
    <cellStyle name="20% - Accent2 4 22" xfId="97"/>
    <cellStyle name="20% - Accent2 4 23" xfId="98"/>
    <cellStyle name="20% - Accent2 4 24" xfId="99"/>
    <cellStyle name="20% - Accent2 4 25" xfId="100"/>
    <cellStyle name="20% - Accent2 4 26" xfId="101"/>
    <cellStyle name="20% - Accent2 4 27" xfId="102"/>
    <cellStyle name="20% - Accent2 4 28" xfId="103"/>
    <cellStyle name="20% - Accent2 4 29" xfId="104"/>
    <cellStyle name="20% - Accent2 4 3" xfId="105"/>
    <cellStyle name="20% - Accent2 4 30" xfId="106"/>
    <cellStyle name="20% - Accent2 4 31" xfId="107"/>
    <cellStyle name="20% - Accent2 4 32" xfId="108"/>
    <cellStyle name="20% - Accent2 4 33" xfId="109"/>
    <cellStyle name="20% - Accent2 4 34" xfId="110"/>
    <cellStyle name="20% - Accent2 4 35" xfId="111"/>
    <cellStyle name="20% - Accent2 4 36" xfId="112"/>
    <cellStyle name="20% - Accent2 4 37" xfId="113"/>
    <cellStyle name="20% - Accent2 4 38" xfId="114"/>
    <cellStyle name="20% - Accent2 4 39" xfId="115"/>
    <cellStyle name="20% - Accent2 4 4" xfId="116"/>
    <cellStyle name="20% - Accent2 4 40" xfId="117"/>
    <cellStyle name="20% - Accent2 4 41" xfId="118"/>
    <cellStyle name="20% - Accent2 4 42" xfId="119"/>
    <cellStyle name="20% - Accent2 4 43" xfId="120"/>
    <cellStyle name="20% - Accent2 4 44" xfId="121"/>
    <cellStyle name="20% - Accent2 4 45" xfId="122"/>
    <cellStyle name="20% - Accent2 4 46" xfId="123"/>
    <cellStyle name="20% - Accent2 4 47" xfId="124"/>
    <cellStyle name="20% - Accent2 4 48" xfId="125"/>
    <cellStyle name="20% - Accent2 4 49" xfId="126"/>
    <cellStyle name="20% - Accent2 4 5" xfId="127"/>
    <cellStyle name="20% - Accent2 4 50" xfId="128"/>
    <cellStyle name="20% - Accent2 4 51" xfId="129"/>
    <cellStyle name="20% - Accent2 4 52" xfId="130"/>
    <cellStyle name="20% - Accent2 4 53" xfId="131"/>
    <cellStyle name="20% - Accent2 4 54" xfId="132"/>
    <cellStyle name="20% - Accent2 4 55" xfId="133"/>
    <cellStyle name="20% - Accent2 4 56" xfId="134"/>
    <cellStyle name="20% - Accent2 4 57" xfId="135"/>
    <cellStyle name="20% - Accent2 4 58" xfId="136"/>
    <cellStyle name="20% - Accent2 4 59" xfId="137"/>
    <cellStyle name="20% - Accent2 4 6" xfId="138"/>
    <cellStyle name="20% - Accent2 4 60" xfId="139"/>
    <cellStyle name="20% - Accent2 4 61" xfId="140"/>
    <cellStyle name="20% - Accent2 4 62" xfId="141"/>
    <cellStyle name="20% - Accent2 4 63" xfId="142"/>
    <cellStyle name="20% - Accent2 4 64" xfId="143"/>
    <cellStyle name="20% - Accent2 4 7" xfId="144"/>
    <cellStyle name="20% - Accent2 4 8" xfId="145"/>
    <cellStyle name="20% - Accent2 4 9" xfId="146"/>
    <cellStyle name="20% - Accent3 2" xfId="147"/>
    <cellStyle name="20% - Accent3 3" xfId="148"/>
    <cellStyle name="20% - Accent3 3 2" xfId="149"/>
    <cellStyle name="20% - Accent3 3 2 2" xfId="150"/>
    <cellStyle name="20% - Accent3 3 3" xfId="151"/>
    <cellStyle name="20% - Accent3 4" xfId="152"/>
    <cellStyle name="20% - Accent3 4 10" xfId="153"/>
    <cellStyle name="20% - Accent3 4 11" xfId="154"/>
    <cellStyle name="20% - Accent3 4 12" xfId="155"/>
    <cellStyle name="20% - Accent3 4 13" xfId="156"/>
    <cellStyle name="20% - Accent3 4 14" xfId="157"/>
    <cellStyle name="20% - Accent3 4 15" xfId="158"/>
    <cellStyle name="20% - Accent3 4 16" xfId="159"/>
    <cellStyle name="20% - Accent3 4 17" xfId="160"/>
    <cellStyle name="20% - Accent3 4 18" xfId="161"/>
    <cellStyle name="20% - Accent3 4 19" xfId="162"/>
    <cellStyle name="20% - Accent3 4 2" xfId="163"/>
    <cellStyle name="20% - Accent3 4 20" xfId="164"/>
    <cellStyle name="20% - Accent3 4 21" xfId="165"/>
    <cellStyle name="20% - Accent3 4 22" xfId="166"/>
    <cellStyle name="20% - Accent3 4 23" xfId="167"/>
    <cellStyle name="20% - Accent3 4 24" xfId="168"/>
    <cellStyle name="20% - Accent3 4 25" xfId="169"/>
    <cellStyle name="20% - Accent3 4 26" xfId="170"/>
    <cellStyle name="20% - Accent3 4 27" xfId="171"/>
    <cellStyle name="20% - Accent3 4 28" xfId="172"/>
    <cellStyle name="20% - Accent3 4 29" xfId="173"/>
    <cellStyle name="20% - Accent3 4 3" xfId="174"/>
    <cellStyle name="20% - Accent3 4 30" xfId="175"/>
    <cellStyle name="20% - Accent3 4 31" xfId="176"/>
    <cellStyle name="20% - Accent3 4 32" xfId="177"/>
    <cellStyle name="20% - Accent3 4 33" xfId="178"/>
    <cellStyle name="20% - Accent3 4 34" xfId="179"/>
    <cellStyle name="20% - Accent3 4 35" xfId="180"/>
    <cellStyle name="20% - Accent3 4 36" xfId="181"/>
    <cellStyle name="20% - Accent3 4 37" xfId="182"/>
    <cellStyle name="20% - Accent3 4 38" xfId="183"/>
    <cellStyle name="20% - Accent3 4 39" xfId="184"/>
    <cellStyle name="20% - Accent3 4 4" xfId="185"/>
    <cellStyle name="20% - Accent3 4 40" xfId="186"/>
    <cellStyle name="20% - Accent3 4 41" xfId="187"/>
    <cellStyle name="20% - Accent3 4 42" xfId="188"/>
    <cellStyle name="20% - Accent3 4 43" xfId="189"/>
    <cellStyle name="20% - Accent3 4 44" xfId="190"/>
    <cellStyle name="20% - Accent3 4 45" xfId="191"/>
    <cellStyle name="20% - Accent3 4 46" xfId="192"/>
    <cellStyle name="20% - Accent3 4 47" xfId="193"/>
    <cellStyle name="20% - Accent3 4 48" xfId="194"/>
    <cellStyle name="20% - Accent3 4 49" xfId="195"/>
    <cellStyle name="20% - Accent3 4 5" xfId="196"/>
    <cellStyle name="20% - Accent3 4 50" xfId="197"/>
    <cellStyle name="20% - Accent3 4 51" xfId="198"/>
    <cellStyle name="20% - Accent3 4 52" xfId="199"/>
    <cellStyle name="20% - Accent3 4 53" xfId="200"/>
    <cellStyle name="20% - Accent3 4 54" xfId="201"/>
    <cellStyle name="20% - Accent3 4 55" xfId="202"/>
    <cellStyle name="20% - Accent3 4 56" xfId="203"/>
    <cellStyle name="20% - Accent3 4 57" xfId="204"/>
    <cellStyle name="20% - Accent3 4 58" xfId="205"/>
    <cellStyle name="20% - Accent3 4 59" xfId="206"/>
    <cellStyle name="20% - Accent3 4 6" xfId="207"/>
    <cellStyle name="20% - Accent3 4 60" xfId="208"/>
    <cellStyle name="20% - Accent3 4 61" xfId="209"/>
    <cellStyle name="20% - Accent3 4 62" xfId="210"/>
    <cellStyle name="20% - Accent3 4 63" xfId="211"/>
    <cellStyle name="20% - Accent3 4 64" xfId="212"/>
    <cellStyle name="20% - Accent3 4 7" xfId="213"/>
    <cellStyle name="20% - Accent3 4 8" xfId="214"/>
    <cellStyle name="20% - Accent3 4 9" xfId="215"/>
    <cellStyle name="20% - Accent4 2" xfId="216"/>
    <cellStyle name="20% - Accent4 3" xfId="217"/>
    <cellStyle name="20% - Accent4 3 2" xfId="218"/>
    <cellStyle name="20% - Accent4 3 2 2" xfId="219"/>
    <cellStyle name="20% - Accent4 3 3" xfId="220"/>
    <cellStyle name="20% - Accent4 4" xfId="221"/>
    <cellStyle name="20% - Accent4 4 10" xfId="222"/>
    <cellStyle name="20% - Accent4 4 11" xfId="223"/>
    <cellStyle name="20% - Accent4 4 12" xfId="224"/>
    <cellStyle name="20% - Accent4 4 13" xfId="225"/>
    <cellStyle name="20% - Accent4 4 14" xfId="226"/>
    <cellStyle name="20% - Accent4 4 15" xfId="227"/>
    <cellStyle name="20% - Accent4 4 16" xfId="228"/>
    <cellStyle name="20% - Accent4 4 17" xfId="229"/>
    <cellStyle name="20% - Accent4 4 18" xfId="230"/>
    <cellStyle name="20% - Accent4 4 19" xfId="231"/>
    <cellStyle name="20% - Accent4 4 2" xfId="232"/>
    <cellStyle name="20% - Accent4 4 20" xfId="233"/>
    <cellStyle name="20% - Accent4 4 21" xfId="234"/>
    <cellStyle name="20% - Accent4 4 22" xfId="235"/>
    <cellStyle name="20% - Accent4 4 23" xfId="236"/>
    <cellStyle name="20% - Accent4 4 24" xfId="237"/>
    <cellStyle name="20% - Accent4 4 25" xfId="238"/>
    <cellStyle name="20% - Accent4 4 26" xfId="239"/>
    <cellStyle name="20% - Accent4 4 27" xfId="240"/>
    <cellStyle name="20% - Accent4 4 28" xfId="241"/>
    <cellStyle name="20% - Accent4 4 29" xfId="242"/>
    <cellStyle name="20% - Accent4 4 3" xfId="243"/>
    <cellStyle name="20% - Accent4 4 30" xfId="244"/>
    <cellStyle name="20% - Accent4 4 31" xfId="245"/>
    <cellStyle name="20% - Accent4 4 32" xfId="246"/>
    <cellStyle name="20% - Accent4 4 33" xfId="247"/>
    <cellStyle name="20% - Accent4 4 34" xfId="248"/>
    <cellStyle name="20% - Accent4 4 35" xfId="249"/>
    <cellStyle name="20% - Accent4 4 36" xfId="250"/>
    <cellStyle name="20% - Accent4 4 37" xfId="251"/>
    <cellStyle name="20% - Accent4 4 38" xfId="252"/>
    <cellStyle name="20% - Accent4 4 39" xfId="253"/>
    <cellStyle name="20% - Accent4 4 4" xfId="254"/>
    <cellStyle name="20% - Accent4 4 40" xfId="255"/>
    <cellStyle name="20% - Accent4 4 41" xfId="256"/>
    <cellStyle name="20% - Accent4 4 42" xfId="257"/>
    <cellStyle name="20% - Accent4 4 43" xfId="258"/>
    <cellStyle name="20% - Accent4 4 44" xfId="259"/>
    <cellStyle name="20% - Accent4 4 45" xfId="260"/>
    <cellStyle name="20% - Accent4 4 46" xfId="261"/>
    <cellStyle name="20% - Accent4 4 47" xfId="262"/>
    <cellStyle name="20% - Accent4 4 48" xfId="263"/>
    <cellStyle name="20% - Accent4 4 49" xfId="264"/>
    <cellStyle name="20% - Accent4 4 5" xfId="265"/>
    <cellStyle name="20% - Accent4 4 50" xfId="266"/>
    <cellStyle name="20% - Accent4 4 51" xfId="267"/>
    <cellStyle name="20% - Accent4 4 52" xfId="268"/>
    <cellStyle name="20% - Accent4 4 53" xfId="269"/>
    <cellStyle name="20% - Accent4 4 54" xfId="270"/>
    <cellStyle name="20% - Accent4 4 55" xfId="271"/>
    <cellStyle name="20% - Accent4 4 56" xfId="272"/>
    <cellStyle name="20% - Accent4 4 57" xfId="273"/>
    <cellStyle name="20% - Accent4 4 58" xfId="274"/>
    <cellStyle name="20% - Accent4 4 59" xfId="275"/>
    <cellStyle name="20% - Accent4 4 6" xfId="276"/>
    <cellStyle name="20% - Accent4 4 60" xfId="277"/>
    <cellStyle name="20% - Accent4 4 61" xfId="278"/>
    <cellStyle name="20% - Accent4 4 62" xfId="279"/>
    <cellStyle name="20% - Accent4 4 63" xfId="280"/>
    <cellStyle name="20% - Accent4 4 64" xfId="281"/>
    <cellStyle name="20% - Accent4 4 7" xfId="282"/>
    <cellStyle name="20% - Accent4 4 8" xfId="283"/>
    <cellStyle name="20% - Accent4 4 9" xfId="284"/>
    <cellStyle name="20% - Accent5 2" xfId="285"/>
    <cellStyle name="20% - Accent5 3" xfId="286"/>
    <cellStyle name="20% - Accent5 3 2" xfId="287"/>
    <cellStyle name="20% - Accent5 3 2 2" xfId="288"/>
    <cellStyle name="20% - Accent5 3 3" xfId="289"/>
    <cellStyle name="20% - Accent5 4" xfId="290"/>
    <cellStyle name="20% - Accent5 4 10" xfId="291"/>
    <cellStyle name="20% - Accent5 4 11" xfId="292"/>
    <cellStyle name="20% - Accent5 4 12" xfId="293"/>
    <cellStyle name="20% - Accent5 4 13" xfId="294"/>
    <cellStyle name="20% - Accent5 4 14" xfId="295"/>
    <cellStyle name="20% - Accent5 4 15" xfId="296"/>
    <cellStyle name="20% - Accent5 4 16" xfId="297"/>
    <cellStyle name="20% - Accent5 4 17" xfId="298"/>
    <cellStyle name="20% - Accent5 4 18" xfId="299"/>
    <cellStyle name="20% - Accent5 4 19" xfId="300"/>
    <cellStyle name="20% - Accent5 4 2" xfId="301"/>
    <cellStyle name="20% - Accent5 4 20" xfId="302"/>
    <cellStyle name="20% - Accent5 4 21" xfId="303"/>
    <cellStyle name="20% - Accent5 4 22" xfId="304"/>
    <cellStyle name="20% - Accent5 4 23" xfId="305"/>
    <cellStyle name="20% - Accent5 4 24" xfId="306"/>
    <cellStyle name="20% - Accent5 4 25" xfId="307"/>
    <cellStyle name="20% - Accent5 4 26" xfId="308"/>
    <cellStyle name="20% - Accent5 4 27" xfId="309"/>
    <cellStyle name="20% - Accent5 4 28" xfId="310"/>
    <cellStyle name="20% - Accent5 4 29" xfId="311"/>
    <cellStyle name="20% - Accent5 4 3" xfId="312"/>
    <cellStyle name="20% - Accent5 4 30" xfId="313"/>
    <cellStyle name="20% - Accent5 4 31" xfId="314"/>
    <cellStyle name="20% - Accent5 4 32" xfId="315"/>
    <cellStyle name="20% - Accent5 4 33" xfId="316"/>
    <cellStyle name="20% - Accent5 4 34" xfId="317"/>
    <cellStyle name="20% - Accent5 4 35" xfId="318"/>
    <cellStyle name="20% - Accent5 4 36" xfId="319"/>
    <cellStyle name="20% - Accent5 4 37" xfId="320"/>
    <cellStyle name="20% - Accent5 4 38" xfId="321"/>
    <cellStyle name="20% - Accent5 4 39" xfId="322"/>
    <cellStyle name="20% - Accent5 4 4" xfId="323"/>
    <cellStyle name="20% - Accent5 4 40" xfId="324"/>
    <cellStyle name="20% - Accent5 4 41" xfId="325"/>
    <cellStyle name="20% - Accent5 4 42" xfId="326"/>
    <cellStyle name="20% - Accent5 4 43" xfId="327"/>
    <cellStyle name="20% - Accent5 4 44" xfId="328"/>
    <cellStyle name="20% - Accent5 4 45" xfId="329"/>
    <cellStyle name="20% - Accent5 4 46" xfId="330"/>
    <cellStyle name="20% - Accent5 4 47" xfId="331"/>
    <cellStyle name="20% - Accent5 4 48" xfId="332"/>
    <cellStyle name="20% - Accent5 4 49" xfId="333"/>
    <cellStyle name="20% - Accent5 4 5" xfId="334"/>
    <cellStyle name="20% - Accent5 4 50" xfId="335"/>
    <cellStyle name="20% - Accent5 4 51" xfId="336"/>
    <cellStyle name="20% - Accent5 4 52" xfId="337"/>
    <cellStyle name="20% - Accent5 4 53" xfId="338"/>
    <cellStyle name="20% - Accent5 4 54" xfId="339"/>
    <cellStyle name="20% - Accent5 4 55" xfId="340"/>
    <cellStyle name="20% - Accent5 4 56" xfId="341"/>
    <cellStyle name="20% - Accent5 4 57" xfId="342"/>
    <cellStyle name="20% - Accent5 4 58" xfId="343"/>
    <cellStyle name="20% - Accent5 4 59" xfId="344"/>
    <cellStyle name="20% - Accent5 4 6" xfId="345"/>
    <cellStyle name="20% - Accent5 4 60" xfId="346"/>
    <cellStyle name="20% - Accent5 4 61" xfId="347"/>
    <cellStyle name="20% - Accent5 4 62" xfId="348"/>
    <cellStyle name="20% - Accent5 4 63" xfId="349"/>
    <cellStyle name="20% - Accent5 4 64" xfId="350"/>
    <cellStyle name="20% - Accent5 4 7" xfId="351"/>
    <cellStyle name="20% - Accent5 4 8" xfId="352"/>
    <cellStyle name="20% - Accent5 4 9" xfId="353"/>
    <cellStyle name="20% - Accent6 2" xfId="354"/>
    <cellStyle name="20% - Accent6 3" xfId="355"/>
    <cellStyle name="20% - Accent6 3 2" xfId="356"/>
    <cellStyle name="20% - Accent6 3 2 2" xfId="357"/>
    <cellStyle name="20% - Accent6 3 3" xfId="358"/>
    <cellStyle name="20% - Accent6 4" xfId="359"/>
    <cellStyle name="20% - Accent6 4 10" xfId="360"/>
    <cellStyle name="20% - Accent6 4 11" xfId="361"/>
    <cellStyle name="20% - Accent6 4 12" xfId="362"/>
    <cellStyle name="20% - Accent6 4 13" xfId="363"/>
    <cellStyle name="20% - Accent6 4 14" xfId="364"/>
    <cellStyle name="20% - Accent6 4 15" xfId="365"/>
    <cellStyle name="20% - Accent6 4 16" xfId="366"/>
    <cellStyle name="20% - Accent6 4 17" xfId="367"/>
    <cellStyle name="20% - Accent6 4 18" xfId="368"/>
    <cellStyle name="20% - Accent6 4 19" xfId="369"/>
    <cellStyle name="20% - Accent6 4 2" xfId="370"/>
    <cellStyle name="20% - Accent6 4 20" xfId="371"/>
    <cellStyle name="20% - Accent6 4 21" xfId="372"/>
    <cellStyle name="20% - Accent6 4 22" xfId="373"/>
    <cellStyle name="20% - Accent6 4 23" xfId="374"/>
    <cellStyle name="20% - Accent6 4 24" xfId="375"/>
    <cellStyle name="20% - Accent6 4 25" xfId="376"/>
    <cellStyle name="20% - Accent6 4 26" xfId="377"/>
    <cellStyle name="20% - Accent6 4 27" xfId="378"/>
    <cellStyle name="20% - Accent6 4 28" xfId="379"/>
    <cellStyle name="20% - Accent6 4 29" xfId="380"/>
    <cellStyle name="20% - Accent6 4 3" xfId="381"/>
    <cellStyle name="20% - Accent6 4 30" xfId="382"/>
    <cellStyle name="20% - Accent6 4 31" xfId="383"/>
    <cellStyle name="20% - Accent6 4 32" xfId="384"/>
    <cellStyle name="20% - Accent6 4 33" xfId="385"/>
    <cellStyle name="20% - Accent6 4 34" xfId="386"/>
    <cellStyle name="20% - Accent6 4 35" xfId="387"/>
    <cellStyle name="20% - Accent6 4 36" xfId="388"/>
    <cellStyle name="20% - Accent6 4 37" xfId="389"/>
    <cellStyle name="20% - Accent6 4 38" xfId="390"/>
    <cellStyle name="20% - Accent6 4 39" xfId="391"/>
    <cellStyle name="20% - Accent6 4 4" xfId="392"/>
    <cellStyle name="20% - Accent6 4 40" xfId="393"/>
    <cellStyle name="20% - Accent6 4 41" xfId="394"/>
    <cellStyle name="20% - Accent6 4 42" xfId="395"/>
    <cellStyle name="20% - Accent6 4 43" xfId="396"/>
    <cellStyle name="20% - Accent6 4 44" xfId="397"/>
    <cellStyle name="20% - Accent6 4 45" xfId="398"/>
    <cellStyle name="20% - Accent6 4 46" xfId="399"/>
    <cellStyle name="20% - Accent6 4 47" xfId="400"/>
    <cellStyle name="20% - Accent6 4 48" xfId="401"/>
    <cellStyle name="20% - Accent6 4 49" xfId="402"/>
    <cellStyle name="20% - Accent6 4 5" xfId="403"/>
    <cellStyle name="20% - Accent6 4 50" xfId="404"/>
    <cellStyle name="20% - Accent6 4 51" xfId="405"/>
    <cellStyle name="20% - Accent6 4 52" xfId="406"/>
    <cellStyle name="20% - Accent6 4 53" xfId="407"/>
    <cellStyle name="20% - Accent6 4 54" xfId="408"/>
    <cellStyle name="20% - Accent6 4 55" xfId="409"/>
    <cellStyle name="20% - Accent6 4 56" xfId="410"/>
    <cellStyle name="20% - Accent6 4 57" xfId="411"/>
    <cellStyle name="20% - Accent6 4 58" xfId="412"/>
    <cellStyle name="20% - Accent6 4 59" xfId="413"/>
    <cellStyle name="20% - Accent6 4 6" xfId="414"/>
    <cellStyle name="20% - Accent6 4 60" xfId="415"/>
    <cellStyle name="20% - Accent6 4 61" xfId="416"/>
    <cellStyle name="20% - Accent6 4 62" xfId="417"/>
    <cellStyle name="20% - Accent6 4 63" xfId="418"/>
    <cellStyle name="20% - Accent6 4 64" xfId="419"/>
    <cellStyle name="20% - Accent6 4 7" xfId="420"/>
    <cellStyle name="20% - Accent6 4 8" xfId="421"/>
    <cellStyle name="20% - Accent6 4 9" xfId="422"/>
    <cellStyle name="40% - Accent1 2" xfId="423"/>
    <cellStyle name="40% - Accent1 3" xfId="424"/>
    <cellStyle name="40% - Accent1 3 2" xfId="425"/>
    <cellStyle name="40% - Accent1 3 2 2" xfId="426"/>
    <cellStyle name="40% - Accent1 3 3" xfId="427"/>
    <cellStyle name="40% - Accent1 4" xfId="428"/>
    <cellStyle name="40% - Accent1 4 10" xfId="429"/>
    <cellStyle name="40% - Accent1 4 11" xfId="430"/>
    <cellStyle name="40% - Accent1 4 12" xfId="431"/>
    <cellStyle name="40% - Accent1 4 13" xfId="432"/>
    <cellStyle name="40% - Accent1 4 14" xfId="433"/>
    <cellStyle name="40% - Accent1 4 15" xfId="434"/>
    <cellStyle name="40% - Accent1 4 16" xfId="435"/>
    <cellStyle name="40% - Accent1 4 17" xfId="436"/>
    <cellStyle name="40% - Accent1 4 18" xfId="437"/>
    <cellStyle name="40% - Accent1 4 19" xfId="438"/>
    <cellStyle name="40% - Accent1 4 2" xfId="439"/>
    <cellStyle name="40% - Accent1 4 20" xfId="440"/>
    <cellStyle name="40% - Accent1 4 21" xfId="441"/>
    <cellStyle name="40% - Accent1 4 22" xfId="442"/>
    <cellStyle name="40% - Accent1 4 23" xfId="443"/>
    <cellStyle name="40% - Accent1 4 24" xfId="444"/>
    <cellStyle name="40% - Accent1 4 25" xfId="445"/>
    <cellStyle name="40% - Accent1 4 26" xfId="446"/>
    <cellStyle name="40% - Accent1 4 27" xfId="447"/>
    <cellStyle name="40% - Accent1 4 28" xfId="448"/>
    <cellStyle name="40% - Accent1 4 29" xfId="449"/>
    <cellStyle name="40% - Accent1 4 3" xfId="450"/>
    <cellStyle name="40% - Accent1 4 30" xfId="451"/>
    <cellStyle name="40% - Accent1 4 31" xfId="452"/>
    <cellStyle name="40% - Accent1 4 32" xfId="453"/>
    <cellStyle name="40% - Accent1 4 33" xfId="454"/>
    <cellStyle name="40% - Accent1 4 34" xfId="455"/>
    <cellStyle name="40% - Accent1 4 35" xfId="456"/>
    <cellStyle name="40% - Accent1 4 36" xfId="457"/>
    <cellStyle name="40% - Accent1 4 37" xfId="458"/>
    <cellStyle name="40% - Accent1 4 38" xfId="459"/>
    <cellStyle name="40% - Accent1 4 39" xfId="460"/>
    <cellStyle name="40% - Accent1 4 4" xfId="461"/>
    <cellStyle name="40% - Accent1 4 40" xfId="462"/>
    <cellStyle name="40% - Accent1 4 41" xfId="463"/>
    <cellStyle name="40% - Accent1 4 42" xfId="464"/>
    <cellStyle name="40% - Accent1 4 43" xfId="465"/>
    <cellStyle name="40% - Accent1 4 44" xfId="466"/>
    <cellStyle name="40% - Accent1 4 45" xfId="467"/>
    <cellStyle name="40% - Accent1 4 46" xfId="468"/>
    <cellStyle name="40% - Accent1 4 47" xfId="469"/>
    <cellStyle name="40% - Accent1 4 48" xfId="470"/>
    <cellStyle name="40% - Accent1 4 49" xfId="471"/>
    <cellStyle name="40% - Accent1 4 5" xfId="472"/>
    <cellStyle name="40% - Accent1 4 50" xfId="473"/>
    <cellStyle name="40% - Accent1 4 51" xfId="474"/>
    <cellStyle name="40% - Accent1 4 52" xfId="475"/>
    <cellStyle name="40% - Accent1 4 53" xfId="476"/>
    <cellStyle name="40% - Accent1 4 54" xfId="477"/>
    <cellStyle name="40% - Accent1 4 55" xfId="478"/>
    <cellStyle name="40% - Accent1 4 56" xfId="479"/>
    <cellStyle name="40% - Accent1 4 57" xfId="480"/>
    <cellStyle name="40% - Accent1 4 58" xfId="481"/>
    <cellStyle name="40% - Accent1 4 59" xfId="482"/>
    <cellStyle name="40% - Accent1 4 6" xfId="483"/>
    <cellStyle name="40% - Accent1 4 60" xfId="484"/>
    <cellStyle name="40% - Accent1 4 61" xfId="485"/>
    <cellStyle name="40% - Accent1 4 62" xfId="486"/>
    <cellStyle name="40% - Accent1 4 63" xfId="487"/>
    <cellStyle name="40% - Accent1 4 64" xfId="488"/>
    <cellStyle name="40% - Accent1 4 7" xfId="489"/>
    <cellStyle name="40% - Accent1 4 8" xfId="490"/>
    <cellStyle name="40% - Accent1 4 9" xfId="491"/>
    <cellStyle name="40% - Accent2 2" xfId="492"/>
    <cellStyle name="40% - Accent2 3" xfId="493"/>
    <cellStyle name="40% - Accent2 3 2" xfId="494"/>
    <cellStyle name="40% - Accent2 3 2 2" xfId="495"/>
    <cellStyle name="40% - Accent2 3 3" xfId="496"/>
    <cellStyle name="40% - Accent2 4" xfId="497"/>
    <cellStyle name="40% - Accent2 4 10" xfId="498"/>
    <cellStyle name="40% - Accent2 4 11" xfId="499"/>
    <cellStyle name="40% - Accent2 4 12" xfId="500"/>
    <cellStyle name="40% - Accent2 4 13" xfId="501"/>
    <cellStyle name="40% - Accent2 4 14" xfId="502"/>
    <cellStyle name="40% - Accent2 4 15" xfId="503"/>
    <cellStyle name="40% - Accent2 4 16" xfId="504"/>
    <cellStyle name="40% - Accent2 4 17" xfId="505"/>
    <cellStyle name="40% - Accent2 4 18" xfId="506"/>
    <cellStyle name="40% - Accent2 4 19" xfId="507"/>
    <cellStyle name="40% - Accent2 4 2" xfId="508"/>
    <cellStyle name="40% - Accent2 4 20" xfId="509"/>
    <cellStyle name="40% - Accent2 4 21" xfId="510"/>
    <cellStyle name="40% - Accent2 4 22" xfId="511"/>
    <cellStyle name="40% - Accent2 4 23" xfId="512"/>
    <cellStyle name="40% - Accent2 4 24" xfId="513"/>
    <cellStyle name="40% - Accent2 4 25" xfId="514"/>
    <cellStyle name="40% - Accent2 4 26" xfId="515"/>
    <cellStyle name="40% - Accent2 4 27" xfId="516"/>
    <cellStyle name="40% - Accent2 4 28" xfId="517"/>
    <cellStyle name="40% - Accent2 4 29" xfId="518"/>
    <cellStyle name="40% - Accent2 4 3" xfId="519"/>
    <cellStyle name="40% - Accent2 4 30" xfId="520"/>
    <cellStyle name="40% - Accent2 4 31" xfId="521"/>
    <cellStyle name="40% - Accent2 4 32" xfId="522"/>
    <cellStyle name="40% - Accent2 4 33" xfId="523"/>
    <cellStyle name="40% - Accent2 4 34" xfId="524"/>
    <cellStyle name="40% - Accent2 4 35" xfId="525"/>
    <cellStyle name="40% - Accent2 4 36" xfId="526"/>
    <cellStyle name="40% - Accent2 4 37" xfId="527"/>
    <cellStyle name="40% - Accent2 4 38" xfId="528"/>
    <cellStyle name="40% - Accent2 4 39" xfId="529"/>
    <cellStyle name="40% - Accent2 4 4" xfId="530"/>
    <cellStyle name="40% - Accent2 4 40" xfId="531"/>
    <cellStyle name="40% - Accent2 4 41" xfId="532"/>
    <cellStyle name="40% - Accent2 4 42" xfId="533"/>
    <cellStyle name="40% - Accent2 4 43" xfId="534"/>
    <cellStyle name="40% - Accent2 4 44" xfId="535"/>
    <cellStyle name="40% - Accent2 4 45" xfId="536"/>
    <cellStyle name="40% - Accent2 4 46" xfId="537"/>
    <cellStyle name="40% - Accent2 4 47" xfId="538"/>
    <cellStyle name="40% - Accent2 4 48" xfId="539"/>
    <cellStyle name="40% - Accent2 4 49" xfId="540"/>
    <cellStyle name="40% - Accent2 4 5" xfId="541"/>
    <cellStyle name="40% - Accent2 4 50" xfId="542"/>
    <cellStyle name="40% - Accent2 4 51" xfId="543"/>
    <cellStyle name="40% - Accent2 4 52" xfId="544"/>
    <cellStyle name="40% - Accent2 4 53" xfId="545"/>
    <cellStyle name="40% - Accent2 4 54" xfId="546"/>
    <cellStyle name="40% - Accent2 4 55" xfId="547"/>
    <cellStyle name="40% - Accent2 4 56" xfId="548"/>
    <cellStyle name="40% - Accent2 4 57" xfId="549"/>
    <cellStyle name="40% - Accent2 4 58" xfId="550"/>
    <cellStyle name="40% - Accent2 4 59" xfId="551"/>
    <cellStyle name="40% - Accent2 4 6" xfId="552"/>
    <cellStyle name="40% - Accent2 4 60" xfId="553"/>
    <cellStyle name="40% - Accent2 4 61" xfId="554"/>
    <cellStyle name="40% - Accent2 4 62" xfId="555"/>
    <cellStyle name="40% - Accent2 4 63" xfId="556"/>
    <cellStyle name="40% - Accent2 4 64" xfId="557"/>
    <cellStyle name="40% - Accent2 4 7" xfId="558"/>
    <cellStyle name="40% - Accent2 4 8" xfId="559"/>
    <cellStyle name="40% - Accent2 4 9" xfId="560"/>
    <cellStyle name="40% - Accent3 2" xfId="561"/>
    <cellStyle name="40% - Accent3 3" xfId="562"/>
    <cellStyle name="40% - Accent3 3 2" xfId="563"/>
    <cellStyle name="40% - Accent3 3 2 2" xfId="564"/>
    <cellStyle name="40% - Accent3 3 3" xfId="565"/>
    <cellStyle name="40% - Accent3 4" xfId="566"/>
    <cellStyle name="40% - Accent3 4 10" xfId="567"/>
    <cellStyle name="40% - Accent3 4 11" xfId="568"/>
    <cellStyle name="40% - Accent3 4 12" xfId="569"/>
    <cellStyle name="40% - Accent3 4 13" xfId="570"/>
    <cellStyle name="40% - Accent3 4 14" xfId="571"/>
    <cellStyle name="40% - Accent3 4 15" xfId="572"/>
    <cellStyle name="40% - Accent3 4 16" xfId="573"/>
    <cellStyle name="40% - Accent3 4 17" xfId="574"/>
    <cellStyle name="40% - Accent3 4 18" xfId="575"/>
    <cellStyle name="40% - Accent3 4 19" xfId="576"/>
    <cellStyle name="40% - Accent3 4 2" xfId="577"/>
    <cellStyle name="40% - Accent3 4 20" xfId="578"/>
    <cellStyle name="40% - Accent3 4 21" xfId="579"/>
    <cellStyle name="40% - Accent3 4 22" xfId="580"/>
    <cellStyle name="40% - Accent3 4 23" xfId="581"/>
    <cellStyle name="40% - Accent3 4 24" xfId="582"/>
    <cellStyle name="40% - Accent3 4 25" xfId="583"/>
    <cellStyle name="40% - Accent3 4 26" xfId="584"/>
    <cellStyle name="40% - Accent3 4 27" xfId="585"/>
    <cellStyle name="40% - Accent3 4 28" xfId="586"/>
    <cellStyle name="40% - Accent3 4 29" xfId="587"/>
    <cellStyle name="40% - Accent3 4 3" xfId="588"/>
    <cellStyle name="40% - Accent3 4 30" xfId="589"/>
    <cellStyle name="40% - Accent3 4 31" xfId="590"/>
    <cellStyle name="40% - Accent3 4 32" xfId="591"/>
    <cellStyle name="40% - Accent3 4 33" xfId="592"/>
    <cellStyle name="40% - Accent3 4 34" xfId="593"/>
    <cellStyle name="40% - Accent3 4 35" xfId="594"/>
    <cellStyle name="40% - Accent3 4 36" xfId="595"/>
    <cellStyle name="40% - Accent3 4 37" xfId="596"/>
    <cellStyle name="40% - Accent3 4 38" xfId="597"/>
    <cellStyle name="40% - Accent3 4 39" xfId="598"/>
    <cellStyle name="40% - Accent3 4 4" xfId="599"/>
    <cellStyle name="40% - Accent3 4 40" xfId="600"/>
    <cellStyle name="40% - Accent3 4 41" xfId="601"/>
    <cellStyle name="40% - Accent3 4 42" xfId="602"/>
    <cellStyle name="40% - Accent3 4 43" xfId="603"/>
    <cellStyle name="40% - Accent3 4 44" xfId="604"/>
    <cellStyle name="40% - Accent3 4 45" xfId="605"/>
    <cellStyle name="40% - Accent3 4 46" xfId="606"/>
    <cellStyle name="40% - Accent3 4 47" xfId="607"/>
    <cellStyle name="40% - Accent3 4 48" xfId="608"/>
    <cellStyle name="40% - Accent3 4 49" xfId="609"/>
    <cellStyle name="40% - Accent3 4 5" xfId="610"/>
    <cellStyle name="40% - Accent3 4 50" xfId="611"/>
    <cellStyle name="40% - Accent3 4 51" xfId="612"/>
    <cellStyle name="40% - Accent3 4 52" xfId="613"/>
    <cellStyle name="40% - Accent3 4 53" xfId="614"/>
    <cellStyle name="40% - Accent3 4 54" xfId="615"/>
    <cellStyle name="40% - Accent3 4 55" xfId="616"/>
    <cellStyle name="40% - Accent3 4 56" xfId="617"/>
    <cellStyle name="40% - Accent3 4 57" xfId="618"/>
    <cellStyle name="40% - Accent3 4 58" xfId="619"/>
    <cellStyle name="40% - Accent3 4 59" xfId="620"/>
    <cellStyle name="40% - Accent3 4 6" xfId="621"/>
    <cellStyle name="40% - Accent3 4 60" xfId="622"/>
    <cellStyle name="40% - Accent3 4 61" xfId="623"/>
    <cellStyle name="40% - Accent3 4 62" xfId="624"/>
    <cellStyle name="40% - Accent3 4 63" xfId="625"/>
    <cellStyle name="40% - Accent3 4 64" xfId="626"/>
    <cellStyle name="40% - Accent3 4 7" xfId="627"/>
    <cellStyle name="40% - Accent3 4 8" xfId="628"/>
    <cellStyle name="40% - Accent3 4 9" xfId="629"/>
    <cellStyle name="40% - Accent4 2" xfId="630"/>
    <cellStyle name="40% - Accent4 3" xfId="631"/>
    <cellStyle name="40% - Accent4 3 2" xfId="632"/>
    <cellStyle name="40% - Accent4 3 2 2" xfId="633"/>
    <cellStyle name="40% - Accent4 3 3" xfId="634"/>
    <cellStyle name="40% - Accent4 4" xfId="635"/>
    <cellStyle name="40% - Accent4 4 10" xfId="636"/>
    <cellStyle name="40% - Accent4 4 11" xfId="637"/>
    <cellStyle name="40% - Accent4 4 12" xfId="638"/>
    <cellStyle name="40% - Accent4 4 13" xfId="639"/>
    <cellStyle name="40% - Accent4 4 14" xfId="640"/>
    <cellStyle name="40% - Accent4 4 15" xfId="641"/>
    <cellStyle name="40% - Accent4 4 16" xfId="642"/>
    <cellStyle name="40% - Accent4 4 17" xfId="643"/>
    <cellStyle name="40% - Accent4 4 18" xfId="644"/>
    <cellStyle name="40% - Accent4 4 19" xfId="645"/>
    <cellStyle name="40% - Accent4 4 2" xfId="646"/>
    <cellStyle name="40% - Accent4 4 20" xfId="647"/>
    <cellStyle name="40% - Accent4 4 21" xfId="648"/>
    <cellStyle name="40% - Accent4 4 22" xfId="649"/>
    <cellStyle name="40% - Accent4 4 23" xfId="650"/>
    <cellStyle name="40% - Accent4 4 24" xfId="651"/>
    <cellStyle name="40% - Accent4 4 25" xfId="652"/>
    <cellStyle name="40% - Accent4 4 26" xfId="653"/>
    <cellStyle name="40% - Accent4 4 27" xfId="654"/>
    <cellStyle name="40% - Accent4 4 28" xfId="655"/>
    <cellStyle name="40% - Accent4 4 29" xfId="656"/>
    <cellStyle name="40% - Accent4 4 3" xfId="657"/>
    <cellStyle name="40% - Accent4 4 30" xfId="658"/>
    <cellStyle name="40% - Accent4 4 31" xfId="659"/>
    <cellStyle name="40% - Accent4 4 32" xfId="660"/>
    <cellStyle name="40% - Accent4 4 33" xfId="661"/>
    <cellStyle name="40% - Accent4 4 34" xfId="662"/>
    <cellStyle name="40% - Accent4 4 35" xfId="663"/>
    <cellStyle name="40% - Accent4 4 36" xfId="664"/>
    <cellStyle name="40% - Accent4 4 37" xfId="665"/>
    <cellStyle name="40% - Accent4 4 38" xfId="666"/>
    <cellStyle name="40% - Accent4 4 39" xfId="667"/>
    <cellStyle name="40% - Accent4 4 4" xfId="668"/>
    <cellStyle name="40% - Accent4 4 40" xfId="669"/>
    <cellStyle name="40% - Accent4 4 41" xfId="670"/>
    <cellStyle name="40% - Accent4 4 42" xfId="671"/>
    <cellStyle name="40% - Accent4 4 43" xfId="672"/>
    <cellStyle name="40% - Accent4 4 44" xfId="673"/>
    <cellStyle name="40% - Accent4 4 45" xfId="674"/>
    <cellStyle name="40% - Accent4 4 46" xfId="675"/>
    <cellStyle name="40% - Accent4 4 47" xfId="676"/>
    <cellStyle name="40% - Accent4 4 48" xfId="677"/>
    <cellStyle name="40% - Accent4 4 49" xfId="678"/>
    <cellStyle name="40% - Accent4 4 5" xfId="679"/>
    <cellStyle name="40% - Accent4 4 50" xfId="680"/>
    <cellStyle name="40% - Accent4 4 51" xfId="681"/>
    <cellStyle name="40% - Accent4 4 52" xfId="682"/>
    <cellStyle name="40% - Accent4 4 53" xfId="683"/>
    <cellStyle name="40% - Accent4 4 54" xfId="684"/>
    <cellStyle name="40% - Accent4 4 55" xfId="685"/>
    <cellStyle name="40% - Accent4 4 56" xfId="686"/>
    <cellStyle name="40% - Accent4 4 57" xfId="687"/>
    <cellStyle name="40% - Accent4 4 58" xfId="688"/>
    <cellStyle name="40% - Accent4 4 59" xfId="689"/>
    <cellStyle name="40% - Accent4 4 6" xfId="690"/>
    <cellStyle name="40% - Accent4 4 60" xfId="691"/>
    <cellStyle name="40% - Accent4 4 61" xfId="692"/>
    <cellStyle name="40% - Accent4 4 62" xfId="693"/>
    <cellStyle name="40% - Accent4 4 63" xfId="694"/>
    <cellStyle name="40% - Accent4 4 64" xfId="695"/>
    <cellStyle name="40% - Accent4 4 7" xfId="696"/>
    <cellStyle name="40% - Accent4 4 8" xfId="697"/>
    <cellStyle name="40% - Accent4 4 9" xfId="698"/>
    <cellStyle name="40% - Accent5 2" xfId="699"/>
    <cellStyle name="40% - Accent5 3" xfId="700"/>
    <cellStyle name="40% - Accent5 3 2" xfId="701"/>
    <cellStyle name="40% - Accent5 3 2 2" xfId="702"/>
    <cellStyle name="40% - Accent5 3 3" xfId="703"/>
    <cellStyle name="40% - Accent5 4" xfId="704"/>
    <cellStyle name="40% - Accent5 4 10" xfId="705"/>
    <cellStyle name="40% - Accent5 4 11" xfId="706"/>
    <cellStyle name="40% - Accent5 4 12" xfId="707"/>
    <cellStyle name="40% - Accent5 4 13" xfId="708"/>
    <cellStyle name="40% - Accent5 4 14" xfId="709"/>
    <cellStyle name="40% - Accent5 4 15" xfId="710"/>
    <cellStyle name="40% - Accent5 4 16" xfId="711"/>
    <cellStyle name="40% - Accent5 4 17" xfId="712"/>
    <cellStyle name="40% - Accent5 4 18" xfId="713"/>
    <cellStyle name="40% - Accent5 4 19" xfId="714"/>
    <cellStyle name="40% - Accent5 4 2" xfId="715"/>
    <cellStyle name="40% - Accent5 4 20" xfId="716"/>
    <cellStyle name="40% - Accent5 4 21" xfId="717"/>
    <cellStyle name="40% - Accent5 4 22" xfId="718"/>
    <cellStyle name="40% - Accent5 4 23" xfId="719"/>
    <cellStyle name="40% - Accent5 4 24" xfId="720"/>
    <cellStyle name="40% - Accent5 4 25" xfId="721"/>
    <cellStyle name="40% - Accent5 4 26" xfId="722"/>
    <cellStyle name="40% - Accent5 4 27" xfId="723"/>
    <cellStyle name="40% - Accent5 4 28" xfId="724"/>
    <cellStyle name="40% - Accent5 4 29" xfId="725"/>
    <cellStyle name="40% - Accent5 4 3" xfId="726"/>
    <cellStyle name="40% - Accent5 4 30" xfId="727"/>
    <cellStyle name="40% - Accent5 4 31" xfId="728"/>
    <cellStyle name="40% - Accent5 4 32" xfId="729"/>
    <cellStyle name="40% - Accent5 4 33" xfId="730"/>
    <cellStyle name="40% - Accent5 4 34" xfId="731"/>
    <cellStyle name="40% - Accent5 4 35" xfId="732"/>
    <cellStyle name="40% - Accent5 4 36" xfId="733"/>
    <cellStyle name="40% - Accent5 4 37" xfId="734"/>
    <cellStyle name="40% - Accent5 4 38" xfId="735"/>
    <cellStyle name="40% - Accent5 4 39" xfId="736"/>
    <cellStyle name="40% - Accent5 4 4" xfId="737"/>
    <cellStyle name="40% - Accent5 4 40" xfId="738"/>
    <cellStyle name="40% - Accent5 4 41" xfId="739"/>
    <cellStyle name="40% - Accent5 4 42" xfId="740"/>
    <cellStyle name="40% - Accent5 4 43" xfId="741"/>
    <cellStyle name="40% - Accent5 4 44" xfId="742"/>
    <cellStyle name="40% - Accent5 4 45" xfId="743"/>
    <cellStyle name="40% - Accent5 4 46" xfId="744"/>
    <cellStyle name="40% - Accent5 4 47" xfId="745"/>
    <cellStyle name="40% - Accent5 4 48" xfId="746"/>
    <cellStyle name="40% - Accent5 4 49" xfId="747"/>
    <cellStyle name="40% - Accent5 4 5" xfId="748"/>
    <cellStyle name="40% - Accent5 4 50" xfId="749"/>
    <cellStyle name="40% - Accent5 4 51" xfId="750"/>
    <cellStyle name="40% - Accent5 4 52" xfId="751"/>
    <cellStyle name="40% - Accent5 4 53" xfId="752"/>
    <cellStyle name="40% - Accent5 4 54" xfId="753"/>
    <cellStyle name="40% - Accent5 4 55" xfId="754"/>
    <cellStyle name="40% - Accent5 4 56" xfId="755"/>
    <cellStyle name="40% - Accent5 4 57" xfId="756"/>
    <cellStyle name="40% - Accent5 4 58" xfId="757"/>
    <cellStyle name="40% - Accent5 4 59" xfId="758"/>
    <cellStyle name="40% - Accent5 4 6" xfId="759"/>
    <cellStyle name="40% - Accent5 4 60" xfId="760"/>
    <cellStyle name="40% - Accent5 4 61" xfId="761"/>
    <cellStyle name="40% - Accent5 4 62" xfId="762"/>
    <cellStyle name="40% - Accent5 4 63" xfId="763"/>
    <cellStyle name="40% - Accent5 4 64" xfId="764"/>
    <cellStyle name="40% - Accent5 4 7" xfId="765"/>
    <cellStyle name="40% - Accent5 4 8" xfId="766"/>
    <cellStyle name="40% - Accent5 4 9" xfId="767"/>
    <cellStyle name="40% - Accent6 2" xfId="768"/>
    <cellStyle name="40% - Accent6 3" xfId="769"/>
    <cellStyle name="40% - Accent6 3 2" xfId="770"/>
    <cellStyle name="40% - Accent6 3 2 2" xfId="771"/>
    <cellStyle name="40% - Accent6 3 3" xfId="772"/>
    <cellStyle name="40% - Accent6 4" xfId="773"/>
    <cellStyle name="40% - Accent6 4 10" xfId="774"/>
    <cellStyle name="40% - Accent6 4 11" xfId="775"/>
    <cellStyle name="40% - Accent6 4 12" xfId="776"/>
    <cellStyle name="40% - Accent6 4 13" xfId="777"/>
    <cellStyle name="40% - Accent6 4 14" xfId="778"/>
    <cellStyle name="40% - Accent6 4 15" xfId="779"/>
    <cellStyle name="40% - Accent6 4 16" xfId="780"/>
    <cellStyle name="40% - Accent6 4 17" xfId="781"/>
    <cellStyle name="40% - Accent6 4 18" xfId="782"/>
    <cellStyle name="40% - Accent6 4 19" xfId="783"/>
    <cellStyle name="40% - Accent6 4 2" xfId="784"/>
    <cellStyle name="40% - Accent6 4 20" xfId="785"/>
    <cellStyle name="40% - Accent6 4 21" xfId="786"/>
    <cellStyle name="40% - Accent6 4 22" xfId="787"/>
    <cellStyle name="40% - Accent6 4 23" xfId="788"/>
    <cellStyle name="40% - Accent6 4 24" xfId="789"/>
    <cellStyle name="40% - Accent6 4 25" xfId="790"/>
    <cellStyle name="40% - Accent6 4 26" xfId="791"/>
    <cellStyle name="40% - Accent6 4 27" xfId="792"/>
    <cellStyle name="40% - Accent6 4 28" xfId="793"/>
    <cellStyle name="40% - Accent6 4 29" xfId="794"/>
    <cellStyle name="40% - Accent6 4 3" xfId="795"/>
    <cellStyle name="40% - Accent6 4 30" xfId="796"/>
    <cellStyle name="40% - Accent6 4 31" xfId="797"/>
    <cellStyle name="40% - Accent6 4 32" xfId="798"/>
    <cellStyle name="40% - Accent6 4 33" xfId="799"/>
    <cellStyle name="40% - Accent6 4 34" xfId="800"/>
    <cellStyle name="40% - Accent6 4 35" xfId="801"/>
    <cellStyle name="40% - Accent6 4 36" xfId="802"/>
    <cellStyle name="40% - Accent6 4 37" xfId="803"/>
    <cellStyle name="40% - Accent6 4 38" xfId="804"/>
    <cellStyle name="40% - Accent6 4 39" xfId="805"/>
    <cellStyle name="40% - Accent6 4 4" xfId="806"/>
    <cellStyle name="40% - Accent6 4 40" xfId="807"/>
    <cellStyle name="40% - Accent6 4 41" xfId="808"/>
    <cellStyle name="40% - Accent6 4 42" xfId="809"/>
    <cellStyle name="40% - Accent6 4 43" xfId="810"/>
    <cellStyle name="40% - Accent6 4 44" xfId="811"/>
    <cellStyle name="40% - Accent6 4 45" xfId="812"/>
    <cellStyle name="40% - Accent6 4 46" xfId="813"/>
    <cellStyle name="40% - Accent6 4 47" xfId="814"/>
    <cellStyle name="40% - Accent6 4 48" xfId="815"/>
    <cellStyle name="40% - Accent6 4 49" xfId="816"/>
    <cellStyle name="40% - Accent6 4 5" xfId="817"/>
    <cellStyle name="40% - Accent6 4 50" xfId="818"/>
    <cellStyle name="40% - Accent6 4 51" xfId="819"/>
    <cellStyle name="40% - Accent6 4 52" xfId="820"/>
    <cellStyle name="40% - Accent6 4 53" xfId="821"/>
    <cellStyle name="40% - Accent6 4 54" xfId="822"/>
    <cellStyle name="40% - Accent6 4 55" xfId="823"/>
    <cellStyle name="40% - Accent6 4 56" xfId="824"/>
    <cellStyle name="40% - Accent6 4 57" xfId="825"/>
    <cellStyle name="40% - Accent6 4 58" xfId="826"/>
    <cellStyle name="40% - Accent6 4 59" xfId="827"/>
    <cellStyle name="40% - Accent6 4 6" xfId="828"/>
    <cellStyle name="40% - Accent6 4 60" xfId="829"/>
    <cellStyle name="40% - Accent6 4 61" xfId="830"/>
    <cellStyle name="40% - Accent6 4 62" xfId="831"/>
    <cellStyle name="40% - Accent6 4 63" xfId="832"/>
    <cellStyle name="40% - Accent6 4 64" xfId="833"/>
    <cellStyle name="40% - Accent6 4 7" xfId="834"/>
    <cellStyle name="40% - Accent6 4 8" xfId="835"/>
    <cellStyle name="40% - Accent6 4 9" xfId="836"/>
    <cellStyle name="60% - Accent1 2" xfId="837"/>
    <cellStyle name="60% - Accent1 3" xfId="838"/>
    <cellStyle name="60% - Accent2 2" xfId="839"/>
    <cellStyle name="60% - Accent2 3" xfId="840"/>
    <cellStyle name="60% - Accent3 2" xfId="841"/>
    <cellStyle name="60% - Accent3 3" xfId="842"/>
    <cellStyle name="60% - Accent4 2" xfId="843"/>
    <cellStyle name="60% - Accent4 3" xfId="844"/>
    <cellStyle name="60% - Accent5 2" xfId="845"/>
    <cellStyle name="60% - Accent5 3" xfId="846"/>
    <cellStyle name="60% - Accent6 2" xfId="847"/>
    <cellStyle name="60% - Accent6 3" xfId="848"/>
    <cellStyle name="Accent1 2" xfId="849"/>
    <cellStyle name="Accent1 3" xfId="850"/>
    <cellStyle name="Accent2 2" xfId="851"/>
    <cellStyle name="Accent2 3" xfId="852"/>
    <cellStyle name="Accent3 2" xfId="853"/>
    <cellStyle name="Accent3 3" xfId="854"/>
    <cellStyle name="Accent4 2" xfId="855"/>
    <cellStyle name="Accent4 3" xfId="856"/>
    <cellStyle name="Accent5 2" xfId="857"/>
    <cellStyle name="Accent5 3" xfId="858"/>
    <cellStyle name="Accent6 2" xfId="859"/>
    <cellStyle name="Accent6 3" xfId="860"/>
    <cellStyle name="Bad 2" xfId="861"/>
    <cellStyle name="Bad 3" xfId="862"/>
    <cellStyle name="Calculation 2" xfId="863"/>
    <cellStyle name="Calculation 2 10" xfId="864"/>
    <cellStyle name="Calculation 2 11" xfId="865"/>
    <cellStyle name="Calculation 2 12" xfId="866"/>
    <cellStyle name="Calculation 2 13" xfId="867"/>
    <cellStyle name="Calculation 2 14" xfId="868"/>
    <cellStyle name="Calculation 2 15" xfId="869"/>
    <cellStyle name="Calculation 2 16" xfId="870"/>
    <cellStyle name="Calculation 2 17" xfId="871"/>
    <cellStyle name="Calculation 2 18" xfId="872"/>
    <cellStyle name="Calculation 2 19" xfId="873"/>
    <cellStyle name="Calculation 2 2" xfId="874"/>
    <cellStyle name="Calculation 2 20" xfId="875"/>
    <cellStyle name="Calculation 2 21" xfId="876"/>
    <cellStyle name="Calculation 2 22" xfId="877"/>
    <cellStyle name="Calculation 2 23" xfId="878"/>
    <cellStyle name="Calculation 2 24" xfId="879"/>
    <cellStyle name="Calculation 2 25" xfId="880"/>
    <cellStyle name="Calculation 2 26" xfId="881"/>
    <cellStyle name="Calculation 2 27" xfId="882"/>
    <cellStyle name="Calculation 2 28" xfId="883"/>
    <cellStyle name="Calculation 2 29" xfId="884"/>
    <cellStyle name="Calculation 2 3" xfId="885"/>
    <cellStyle name="Calculation 2 30" xfId="886"/>
    <cellStyle name="Calculation 2 31" xfId="887"/>
    <cellStyle name="Calculation 2 32" xfId="888"/>
    <cellStyle name="Calculation 2 33" xfId="889"/>
    <cellStyle name="Calculation 2 34" xfId="890"/>
    <cellStyle name="Calculation 2 35" xfId="891"/>
    <cellStyle name="Calculation 2 36" xfId="892"/>
    <cellStyle name="Calculation 2 37" xfId="893"/>
    <cellStyle name="Calculation 2 38" xfId="894"/>
    <cellStyle name="Calculation 2 39" xfId="895"/>
    <cellStyle name="Calculation 2 4" xfId="896"/>
    <cellStyle name="Calculation 2 40" xfId="897"/>
    <cellStyle name="Calculation 2 41" xfId="898"/>
    <cellStyle name="Calculation 2 42" xfId="899"/>
    <cellStyle name="Calculation 2 43" xfId="900"/>
    <cellStyle name="Calculation 2 44" xfId="901"/>
    <cellStyle name="Calculation 2 45" xfId="902"/>
    <cellStyle name="Calculation 2 46" xfId="903"/>
    <cellStyle name="Calculation 2 47" xfId="904"/>
    <cellStyle name="Calculation 2 48" xfId="905"/>
    <cellStyle name="Calculation 2 49" xfId="906"/>
    <cellStyle name="Calculation 2 5" xfId="907"/>
    <cellStyle name="Calculation 2 50" xfId="908"/>
    <cellStyle name="Calculation 2 51" xfId="909"/>
    <cellStyle name="Calculation 2 52" xfId="910"/>
    <cellStyle name="Calculation 2 53" xfId="911"/>
    <cellStyle name="Calculation 2 54" xfId="912"/>
    <cellStyle name="Calculation 2 55" xfId="913"/>
    <cellStyle name="Calculation 2 56" xfId="914"/>
    <cellStyle name="Calculation 2 57" xfId="915"/>
    <cellStyle name="Calculation 2 58" xfId="916"/>
    <cellStyle name="Calculation 2 59" xfId="917"/>
    <cellStyle name="Calculation 2 6" xfId="918"/>
    <cellStyle name="Calculation 2 60" xfId="919"/>
    <cellStyle name="Calculation 2 61" xfId="920"/>
    <cellStyle name="Calculation 2 62" xfId="921"/>
    <cellStyle name="Calculation 2 63" xfId="922"/>
    <cellStyle name="Calculation 2 64" xfId="923"/>
    <cellStyle name="Calculation 2 7" xfId="924"/>
    <cellStyle name="Calculation 2 8" xfId="925"/>
    <cellStyle name="Calculation 2 9" xfId="926"/>
    <cellStyle name="Calculation 3" xfId="927"/>
    <cellStyle name="Check Cell 2" xfId="928"/>
    <cellStyle name="Check Cell 3" xfId="929"/>
    <cellStyle name="Comma [0]" xfId="1" builtinId="6"/>
    <cellStyle name="Comma [0] 10" xfId="930"/>
    <cellStyle name="Comma [0] 11" xfId="931"/>
    <cellStyle name="Comma [0] 11 2" xfId="932"/>
    <cellStyle name="Comma [0] 12" xfId="933"/>
    <cellStyle name="Comma [0] 12 2" xfId="934"/>
    <cellStyle name="Comma [0] 13" xfId="935"/>
    <cellStyle name="Comma [0] 13 2" xfId="936"/>
    <cellStyle name="Comma [0] 14" xfId="8"/>
    <cellStyle name="Comma [0] 14 2" xfId="937"/>
    <cellStyle name="Comma [0] 14 2 2" xfId="938"/>
    <cellStyle name="Comma [0] 15" xfId="939"/>
    <cellStyle name="Comma [0] 16" xfId="940"/>
    <cellStyle name="Comma [0] 2" xfId="941"/>
    <cellStyle name="Comma [0] 2 2" xfId="942"/>
    <cellStyle name="Comma [0] 2 2 2" xfId="943"/>
    <cellStyle name="Comma [0] 2 3" xfId="944"/>
    <cellStyle name="Comma [0] 2 4" xfId="945"/>
    <cellStyle name="Comma [0] 2 4 2" xfId="946"/>
    <cellStyle name="Comma [0] 2 5" xfId="947"/>
    <cellStyle name="Comma [0] 3" xfId="948"/>
    <cellStyle name="Comma [0] 3 2" xfId="949"/>
    <cellStyle name="Comma [0] 3 2 2" xfId="950"/>
    <cellStyle name="Comma [0] 3 3" xfId="951"/>
    <cellStyle name="Comma [0] 3 3 2" xfId="952"/>
    <cellStyle name="Comma [0] 3 3 2 2" xfId="953"/>
    <cellStyle name="Comma [0] 3 3 2 2 2" xfId="954"/>
    <cellStyle name="Comma [0] 3 3 2 3" xfId="955"/>
    <cellStyle name="Comma [0] 3 3 3" xfId="956"/>
    <cellStyle name="Comma [0] 3 3 3 2" xfId="957"/>
    <cellStyle name="Comma [0] 3 3 3 2 2" xfId="958"/>
    <cellStyle name="Comma [0] 3 3 3 3" xfId="959"/>
    <cellStyle name="Comma [0] 3 3 4" xfId="960"/>
    <cellStyle name="Comma [0] 3 3 4 2" xfId="961"/>
    <cellStyle name="Comma [0] 3 3 4 2 2" xfId="962"/>
    <cellStyle name="Comma [0] 3 3 4 3" xfId="963"/>
    <cellStyle name="Comma [0] 3 3 5" xfId="964"/>
    <cellStyle name="Comma [0] 3 3 5 2" xfId="965"/>
    <cellStyle name="Comma [0] 3 3 5 2 2" xfId="966"/>
    <cellStyle name="Comma [0] 3 3 5 3" xfId="967"/>
    <cellStyle name="Comma [0] 3 3 6" xfId="968"/>
    <cellStyle name="Comma [0] 3 3 6 2" xfId="969"/>
    <cellStyle name="Comma [0] 3 3 7" xfId="970"/>
    <cellStyle name="Comma [0] 3 4" xfId="971"/>
    <cellStyle name="Comma [0] 3 4 2" xfId="972"/>
    <cellStyle name="Comma [0] 3 4 2 2" xfId="973"/>
    <cellStyle name="Comma [0] 3 4 3" xfId="974"/>
    <cellStyle name="Comma [0] 3 5" xfId="975"/>
    <cellStyle name="Comma [0] 3 5 2" xfId="976"/>
    <cellStyle name="Comma [0] 4" xfId="977"/>
    <cellStyle name="Comma [0] 4 2" xfId="978"/>
    <cellStyle name="Comma [0] 4 3" xfId="979"/>
    <cellStyle name="Comma [0] 5" xfId="980"/>
    <cellStyle name="Comma [0] 6" xfId="981"/>
    <cellStyle name="Comma [0] 6 2" xfId="982"/>
    <cellStyle name="Comma [0] 7" xfId="983"/>
    <cellStyle name="Comma [0] 8" xfId="984"/>
    <cellStyle name="Comma [0] 8 2" xfId="985"/>
    <cellStyle name="Comma [0] 9" xfId="986"/>
    <cellStyle name="Comma [0] 9 2" xfId="987"/>
    <cellStyle name="Comma [0] 9 3" xfId="988"/>
    <cellStyle name="Comma 10" xfId="989"/>
    <cellStyle name="Comma 10 2" xfId="990"/>
    <cellStyle name="Comma 11" xfId="991"/>
    <cellStyle name="Comma 11 2" xfId="992"/>
    <cellStyle name="Comma 11 2 2" xfId="993"/>
    <cellStyle name="Comma 11 3" xfId="994"/>
    <cellStyle name="Comma 12" xfId="995"/>
    <cellStyle name="Comma 13" xfId="996"/>
    <cellStyle name="Comma 13 2" xfId="997"/>
    <cellStyle name="Comma 13 2 2" xfId="998"/>
    <cellStyle name="Comma 13 3" xfId="999"/>
    <cellStyle name="Comma 14" xfId="1000"/>
    <cellStyle name="Comma 14 2" xfId="1001"/>
    <cellStyle name="Comma 15" xfId="1002"/>
    <cellStyle name="Comma 15 2" xfId="1003"/>
    <cellStyle name="Comma 16" xfId="1004"/>
    <cellStyle name="Comma 16 2" xfId="1005"/>
    <cellStyle name="Comma 16 2 2" xfId="1006"/>
    <cellStyle name="Comma 16 3" xfId="1007"/>
    <cellStyle name="Comma 17" xfId="3"/>
    <cellStyle name="Comma 17 2" xfId="1008"/>
    <cellStyle name="Comma 17 2 2" xfId="1009"/>
    <cellStyle name="Comma 18" xfId="1010"/>
    <cellStyle name="Comma 19" xfId="1011"/>
    <cellStyle name="Comma 2" xfId="1012"/>
    <cellStyle name="Comma 2 2" xfId="1013"/>
    <cellStyle name="Comma 2 2 2" xfId="1014"/>
    <cellStyle name="Comma 2 3" xfId="1015"/>
    <cellStyle name="Comma 2 3 2" xfId="1016"/>
    <cellStyle name="Comma 2 4" xfId="1017"/>
    <cellStyle name="Comma 2 4 2" xfId="1018"/>
    <cellStyle name="Comma 3" xfId="1019"/>
    <cellStyle name="Comma 3 2" xfId="1020"/>
    <cellStyle name="Comma 3 2 10" xfId="1021"/>
    <cellStyle name="Comma 3 2 11" xfId="1022"/>
    <cellStyle name="Comma 3 2 12" xfId="1023"/>
    <cellStyle name="Comma 3 2 13" xfId="1024"/>
    <cellStyle name="Comma 3 2 14" xfId="1025"/>
    <cellStyle name="Comma 3 2 15" xfId="1026"/>
    <cellStyle name="Comma 3 2 16" xfId="1027"/>
    <cellStyle name="Comma 3 2 17" xfId="1028"/>
    <cellStyle name="Comma 3 2 18" xfId="1029"/>
    <cellStyle name="Comma 3 2 19" xfId="1030"/>
    <cellStyle name="Comma 3 2 2" xfId="1031"/>
    <cellStyle name="Comma 3 2 20" xfId="1032"/>
    <cellStyle name="Comma 3 2 21" xfId="1033"/>
    <cellStyle name="Comma 3 2 22" xfId="1034"/>
    <cellStyle name="Comma 3 2 23" xfId="1035"/>
    <cellStyle name="Comma 3 2 24" xfId="1036"/>
    <cellStyle name="Comma 3 2 25" xfId="1037"/>
    <cellStyle name="Comma 3 2 26" xfId="1038"/>
    <cellStyle name="Comma 3 2 27" xfId="1039"/>
    <cellStyle name="Comma 3 2 28" xfId="1040"/>
    <cellStyle name="Comma 3 2 29" xfId="1041"/>
    <cellStyle name="Comma 3 2 3" xfId="1042"/>
    <cellStyle name="Comma 3 2 30" xfId="1043"/>
    <cellStyle name="Comma 3 2 31" xfId="1044"/>
    <cellStyle name="Comma 3 2 32" xfId="1045"/>
    <cellStyle name="Comma 3 2 33" xfId="1046"/>
    <cellStyle name="Comma 3 2 34" xfId="1047"/>
    <cellStyle name="Comma 3 2 35" xfId="1048"/>
    <cellStyle name="Comma 3 2 36" xfId="1049"/>
    <cellStyle name="Comma 3 2 37" xfId="1050"/>
    <cellStyle name="Comma 3 2 38" xfId="1051"/>
    <cellStyle name="Comma 3 2 39" xfId="1052"/>
    <cellStyle name="Comma 3 2 4" xfId="1053"/>
    <cellStyle name="Comma 3 2 40" xfId="1054"/>
    <cellStyle name="Comma 3 2 41" xfId="1055"/>
    <cellStyle name="Comma 3 2 42" xfId="1056"/>
    <cellStyle name="Comma 3 2 43" xfId="1057"/>
    <cellStyle name="Comma 3 2 44" xfId="1058"/>
    <cellStyle name="Comma 3 2 45" xfId="1059"/>
    <cellStyle name="Comma 3 2 46" xfId="1060"/>
    <cellStyle name="Comma 3 2 47" xfId="1061"/>
    <cellStyle name="Comma 3 2 48" xfId="1062"/>
    <cellStyle name="Comma 3 2 49" xfId="1063"/>
    <cellStyle name="Comma 3 2 5" xfId="1064"/>
    <cellStyle name="Comma 3 2 50" xfId="1065"/>
    <cellStyle name="Comma 3 2 51" xfId="1066"/>
    <cellStyle name="Comma 3 2 52" xfId="1067"/>
    <cellStyle name="Comma 3 2 53" xfId="1068"/>
    <cellStyle name="Comma 3 2 54" xfId="1069"/>
    <cellStyle name="Comma 3 2 55" xfId="1070"/>
    <cellStyle name="Comma 3 2 56" xfId="1071"/>
    <cellStyle name="Comma 3 2 57" xfId="1072"/>
    <cellStyle name="Comma 3 2 58" xfId="1073"/>
    <cellStyle name="Comma 3 2 59" xfId="1074"/>
    <cellStyle name="Comma 3 2 6" xfId="1075"/>
    <cellStyle name="Comma 3 2 60" xfId="1076"/>
    <cellStyle name="Comma 3 2 61" xfId="1077"/>
    <cellStyle name="Comma 3 2 62" xfId="1078"/>
    <cellStyle name="Comma 3 2 63" xfId="1079"/>
    <cellStyle name="Comma 3 2 64" xfId="1080"/>
    <cellStyle name="Comma 3 2 7" xfId="1081"/>
    <cellStyle name="Comma 3 2 8" xfId="1082"/>
    <cellStyle name="Comma 3 2 9" xfId="1083"/>
    <cellStyle name="Comma 3 3" xfId="1084"/>
    <cellStyle name="Comma 3 3 2" xfId="1085"/>
    <cellStyle name="Comma 3 3 2 2" xfId="1086"/>
    <cellStyle name="Comma 3 3 2 2 2" xfId="1087"/>
    <cellStyle name="Comma 3 3 2 3" xfId="1088"/>
    <cellStyle name="Comma 3 3 3" xfId="1089"/>
    <cellStyle name="Comma 3 3 3 2" xfId="7"/>
    <cellStyle name="Comma 3 4" xfId="5"/>
    <cellStyle name="Comma 4" xfId="1090"/>
    <cellStyle name="Comma 4 2" xfId="1091"/>
    <cellStyle name="Comma 4 2 2" xfId="1092"/>
    <cellStyle name="Comma 4 3" xfId="1093"/>
    <cellStyle name="Comma 5" xfId="1094"/>
    <cellStyle name="Comma 5 2" xfId="1095"/>
    <cellStyle name="Comma 6" xfId="1096"/>
    <cellStyle name="Comma 6 2" xfId="1097"/>
    <cellStyle name="Comma 6 2 2" xfId="1098"/>
    <cellStyle name="Comma 6 3" xfId="1099"/>
    <cellStyle name="Comma 7" xfId="1100"/>
    <cellStyle name="Comma 7 10" xfId="1101"/>
    <cellStyle name="Comma 7 11" xfId="1102"/>
    <cellStyle name="Comma 7 12" xfId="1103"/>
    <cellStyle name="Comma 7 13" xfId="1104"/>
    <cellStyle name="Comma 7 14" xfId="1105"/>
    <cellStyle name="Comma 7 15" xfId="1106"/>
    <cellStyle name="Comma 7 16" xfId="1107"/>
    <cellStyle name="Comma 7 17" xfId="1108"/>
    <cellStyle name="Comma 7 18" xfId="1109"/>
    <cellStyle name="Comma 7 19" xfId="1110"/>
    <cellStyle name="Comma 7 2" xfId="1111"/>
    <cellStyle name="Comma 7 20" xfId="1112"/>
    <cellStyle name="Comma 7 21" xfId="1113"/>
    <cellStyle name="Comma 7 22" xfId="1114"/>
    <cellStyle name="Comma 7 23" xfId="1115"/>
    <cellStyle name="Comma 7 24" xfId="1116"/>
    <cellStyle name="Comma 7 25" xfId="1117"/>
    <cellStyle name="Comma 7 26" xfId="1118"/>
    <cellStyle name="Comma 7 27" xfId="1119"/>
    <cellStyle name="Comma 7 28" xfId="1120"/>
    <cellStyle name="Comma 7 29" xfId="1121"/>
    <cellStyle name="Comma 7 3" xfId="1122"/>
    <cellStyle name="Comma 7 30" xfId="1123"/>
    <cellStyle name="Comma 7 31" xfId="1124"/>
    <cellStyle name="Comma 7 32" xfId="1125"/>
    <cellStyle name="Comma 7 33" xfId="1126"/>
    <cellStyle name="Comma 7 34" xfId="1127"/>
    <cellStyle name="Comma 7 35" xfId="1128"/>
    <cellStyle name="Comma 7 36" xfId="1129"/>
    <cellStyle name="Comma 7 37" xfId="1130"/>
    <cellStyle name="Comma 7 38" xfId="1131"/>
    <cellStyle name="Comma 7 39" xfId="1132"/>
    <cellStyle name="Comma 7 4" xfId="1133"/>
    <cellStyle name="Comma 7 4 10" xfId="1134"/>
    <cellStyle name="Comma 7 4 11" xfId="1135"/>
    <cellStyle name="Comma 7 4 12" xfId="1136"/>
    <cellStyle name="Comma 7 4 13" xfId="1137"/>
    <cellStyle name="Comma 7 4 14" xfId="1138"/>
    <cellStyle name="Comma 7 4 15" xfId="1139"/>
    <cellStyle name="Comma 7 4 16" xfId="1140"/>
    <cellStyle name="Comma 7 4 17" xfId="1141"/>
    <cellStyle name="Comma 7 4 18" xfId="1142"/>
    <cellStyle name="Comma 7 4 19" xfId="1143"/>
    <cellStyle name="Comma 7 4 2" xfId="1144"/>
    <cellStyle name="Comma 7 4 20" xfId="1145"/>
    <cellStyle name="Comma 7 4 21" xfId="1146"/>
    <cellStyle name="Comma 7 4 22" xfId="1147"/>
    <cellStyle name="Comma 7 4 23" xfId="1148"/>
    <cellStyle name="Comma 7 4 24" xfId="1149"/>
    <cellStyle name="Comma 7 4 25" xfId="1150"/>
    <cellStyle name="Comma 7 4 26" xfId="1151"/>
    <cellStyle name="Comma 7 4 27" xfId="1152"/>
    <cellStyle name="Comma 7 4 28" xfId="1153"/>
    <cellStyle name="Comma 7 4 29" xfId="1154"/>
    <cellStyle name="Comma 7 4 3" xfId="1155"/>
    <cellStyle name="Comma 7 4 30" xfId="1156"/>
    <cellStyle name="Comma 7 4 31" xfId="1157"/>
    <cellStyle name="Comma 7 4 32" xfId="1158"/>
    <cellStyle name="Comma 7 4 33" xfId="1159"/>
    <cellStyle name="Comma 7 4 34" xfId="1160"/>
    <cellStyle name="Comma 7 4 35" xfId="1161"/>
    <cellStyle name="Comma 7 4 36" xfId="1162"/>
    <cellStyle name="Comma 7 4 37" xfId="1163"/>
    <cellStyle name="Comma 7 4 38" xfId="1164"/>
    <cellStyle name="Comma 7 4 39" xfId="1165"/>
    <cellStyle name="Comma 7 4 4" xfId="1166"/>
    <cellStyle name="Comma 7 4 40" xfId="1167"/>
    <cellStyle name="Comma 7 4 41" xfId="1168"/>
    <cellStyle name="Comma 7 4 42" xfId="1169"/>
    <cellStyle name="Comma 7 4 43" xfId="1170"/>
    <cellStyle name="Comma 7 4 44" xfId="1171"/>
    <cellStyle name="Comma 7 4 45" xfId="1172"/>
    <cellStyle name="Comma 7 4 46" xfId="1173"/>
    <cellStyle name="Comma 7 4 47" xfId="1174"/>
    <cellStyle name="Comma 7 4 48" xfId="1175"/>
    <cellStyle name="Comma 7 4 49" xfId="1176"/>
    <cellStyle name="Comma 7 4 5" xfId="1177"/>
    <cellStyle name="Comma 7 4 50" xfId="1178"/>
    <cellStyle name="Comma 7 4 51" xfId="1179"/>
    <cellStyle name="Comma 7 4 52" xfId="1180"/>
    <cellStyle name="Comma 7 4 53" xfId="1181"/>
    <cellStyle name="Comma 7 4 54" xfId="1182"/>
    <cellStyle name="Comma 7 4 55" xfId="1183"/>
    <cellStyle name="Comma 7 4 56" xfId="1184"/>
    <cellStyle name="Comma 7 4 57" xfId="1185"/>
    <cellStyle name="Comma 7 4 58" xfId="1186"/>
    <cellStyle name="Comma 7 4 59" xfId="1187"/>
    <cellStyle name="Comma 7 4 6" xfId="1188"/>
    <cellStyle name="Comma 7 4 60" xfId="1189"/>
    <cellStyle name="Comma 7 4 61" xfId="1190"/>
    <cellStyle name="Comma 7 4 62" xfId="1191"/>
    <cellStyle name="Comma 7 4 63" xfId="1192"/>
    <cellStyle name="Comma 7 4 64" xfId="1193"/>
    <cellStyle name="Comma 7 4 7" xfId="1194"/>
    <cellStyle name="Comma 7 4 8" xfId="1195"/>
    <cellStyle name="Comma 7 4 9" xfId="1196"/>
    <cellStyle name="Comma 7 40" xfId="1197"/>
    <cellStyle name="Comma 7 41" xfId="1198"/>
    <cellStyle name="Comma 7 42" xfId="1199"/>
    <cellStyle name="Comma 7 43" xfId="1200"/>
    <cellStyle name="Comma 7 44" xfId="1201"/>
    <cellStyle name="Comma 7 45" xfId="1202"/>
    <cellStyle name="Comma 7 46" xfId="1203"/>
    <cellStyle name="Comma 7 47" xfId="1204"/>
    <cellStyle name="Comma 7 48" xfId="1205"/>
    <cellStyle name="Comma 7 49" xfId="1206"/>
    <cellStyle name="Comma 7 5" xfId="1207"/>
    <cellStyle name="Comma 7 50" xfId="1208"/>
    <cellStyle name="Comma 7 51" xfId="1209"/>
    <cellStyle name="Comma 7 52" xfId="1210"/>
    <cellStyle name="Comma 7 53" xfId="1211"/>
    <cellStyle name="Comma 7 54" xfId="1212"/>
    <cellStyle name="Comma 7 55" xfId="1213"/>
    <cellStyle name="Comma 7 56" xfId="1214"/>
    <cellStyle name="Comma 7 57" xfId="1215"/>
    <cellStyle name="Comma 7 58" xfId="1216"/>
    <cellStyle name="Comma 7 59" xfId="1217"/>
    <cellStyle name="Comma 7 6" xfId="1218"/>
    <cellStyle name="Comma 7 60" xfId="1219"/>
    <cellStyle name="Comma 7 61" xfId="1220"/>
    <cellStyle name="Comma 7 62" xfId="1221"/>
    <cellStyle name="Comma 7 63" xfId="1222"/>
    <cellStyle name="Comma 7 64" xfId="1223"/>
    <cellStyle name="Comma 7 65" xfId="1224"/>
    <cellStyle name="Comma 7 66" xfId="1225"/>
    <cellStyle name="Comma 7 67" xfId="1226"/>
    <cellStyle name="Comma 7 7" xfId="1227"/>
    <cellStyle name="Comma 7 8" xfId="1228"/>
    <cellStyle name="Comma 7 9" xfId="1229"/>
    <cellStyle name="Comma 8" xfId="1230"/>
    <cellStyle name="Comma 8 2" xfId="1231"/>
    <cellStyle name="Comma 8 3" xfId="1232"/>
    <cellStyle name="Comma 8 3 10" xfId="1233"/>
    <cellStyle name="Comma 8 3 11" xfId="1234"/>
    <cellStyle name="Comma 8 3 12" xfId="1235"/>
    <cellStyle name="Comma 8 3 13" xfId="1236"/>
    <cellStyle name="Comma 8 3 14" xfId="1237"/>
    <cellStyle name="Comma 8 3 15" xfId="1238"/>
    <cellStyle name="Comma 8 3 16" xfId="1239"/>
    <cellStyle name="Comma 8 3 17" xfId="1240"/>
    <cellStyle name="Comma 8 3 18" xfId="1241"/>
    <cellStyle name="Comma 8 3 19" xfId="1242"/>
    <cellStyle name="Comma 8 3 2" xfId="1243"/>
    <cellStyle name="Comma 8 3 20" xfId="1244"/>
    <cellStyle name="Comma 8 3 21" xfId="1245"/>
    <cellStyle name="Comma 8 3 22" xfId="1246"/>
    <cellStyle name="Comma 8 3 23" xfId="1247"/>
    <cellStyle name="Comma 8 3 24" xfId="1248"/>
    <cellStyle name="Comma 8 3 25" xfId="1249"/>
    <cellStyle name="Comma 8 3 26" xfId="1250"/>
    <cellStyle name="Comma 8 3 27" xfId="1251"/>
    <cellStyle name="Comma 8 3 28" xfId="1252"/>
    <cellStyle name="Comma 8 3 29" xfId="1253"/>
    <cellStyle name="Comma 8 3 3" xfId="1254"/>
    <cellStyle name="Comma 8 3 30" xfId="1255"/>
    <cellStyle name="Comma 8 3 31" xfId="1256"/>
    <cellStyle name="Comma 8 3 32" xfId="1257"/>
    <cellStyle name="Comma 8 3 33" xfId="1258"/>
    <cellStyle name="Comma 8 3 34" xfId="1259"/>
    <cellStyle name="Comma 8 3 35" xfId="1260"/>
    <cellStyle name="Comma 8 3 36" xfId="1261"/>
    <cellStyle name="Comma 8 3 37" xfId="1262"/>
    <cellStyle name="Comma 8 3 38" xfId="1263"/>
    <cellStyle name="Comma 8 3 39" xfId="1264"/>
    <cellStyle name="Comma 8 3 4" xfId="1265"/>
    <cellStyle name="Comma 8 3 40" xfId="1266"/>
    <cellStyle name="Comma 8 3 41" xfId="1267"/>
    <cellStyle name="Comma 8 3 42" xfId="1268"/>
    <cellStyle name="Comma 8 3 43" xfId="1269"/>
    <cellStyle name="Comma 8 3 44" xfId="1270"/>
    <cellStyle name="Comma 8 3 45" xfId="1271"/>
    <cellStyle name="Comma 8 3 46" xfId="1272"/>
    <cellStyle name="Comma 8 3 47" xfId="1273"/>
    <cellStyle name="Comma 8 3 48" xfId="1274"/>
    <cellStyle name="Comma 8 3 49" xfId="1275"/>
    <cellStyle name="Comma 8 3 5" xfId="1276"/>
    <cellStyle name="Comma 8 3 50" xfId="1277"/>
    <cellStyle name="Comma 8 3 51" xfId="1278"/>
    <cellStyle name="Comma 8 3 52" xfId="1279"/>
    <cellStyle name="Comma 8 3 53" xfId="1280"/>
    <cellStyle name="Comma 8 3 54" xfId="1281"/>
    <cellStyle name="Comma 8 3 55" xfId="1282"/>
    <cellStyle name="Comma 8 3 56" xfId="1283"/>
    <cellStyle name="Comma 8 3 57" xfId="1284"/>
    <cellStyle name="Comma 8 3 58" xfId="1285"/>
    <cellStyle name="Comma 8 3 59" xfId="1286"/>
    <cellStyle name="Comma 8 3 6" xfId="1287"/>
    <cellStyle name="Comma 8 3 60" xfId="1288"/>
    <cellStyle name="Comma 8 3 61" xfId="1289"/>
    <cellStyle name="Comma 8 3 62" xfId="1290"/>
    <cellStyle name="Comma 8 3 63" xfId="1291"/>
    <cellStyle name="Comma 8 3 64" xfId="1292"/>
    <cellStyle name="Comma 8 3 7" xfId="1293"/>
    <cellStyle name="Comma 8 3 8" xfId="1294"/>
    <cellStyle name="Comma 8 3 9" xfId="1295"/>
    <cellStyle name="Comma 9" xfId="1296"/>
    <cellStyle name="Comma 9 2" xfId="1297"/>
    <cellStyle name="Comma 9 2 2" xfId="1298"/>
    <cellStyle name="Currency [0] 2" xfId="1299"/>
    <cellStyle name="Currency [0] 2 2" xfId="1300"/>
    <cellStyle name="Currency [0] 3" xfId="1301"/>
    <cellStyle name="Currency [0] 3 2" xfId="1302"/>
    <cellStyle name="Currency [0] 3 2 2" xfId="1303"/>
    <cellStyle name="Currency [0] 3 3" xfId="1304"/>
    <cellStyle name="Currency [0] 4" xfId="1305"/>
    <cellStyle name="Currency [0] 4 2" xfId="1306"/>
    <cellStyle name="Currency [0] 5" xfId="1307"/>
    <cellStyle name="Currency 2" xfId="1308"/>
    <cellStyle name="Currency 2 2" xfId="1309"/>
    <cellStyle name="Explanatory Text 2" xfId="1310"/>
    <cellStyle name="Explanatory Text 3" xfId="1311"/>
    <cellStyle name="Good 2" xfId="1312"/>
    <cellStyle name="Good 3" xfId="1313"/>
    <cellStyle name="Heading 1 2" xfId="1314"/>
    <cellStyle name="Heading 1 3" xfId="1315"/>
    <cellStyle name="Heading 2 2" xfId="1316"/>
    <cellStyle name="Heading 2 3" xfId="1317"/>
    <cellStyle name="Heading 3 2" xfId="1318"/>
    <cellStyle name="Heading 3 3" xfId="1319"/>
    <cellStyle name="Heading 4 2" xfId="1320"/>
    <cellStyle name="Heading 4 3" xfId="1321"/>
    <cellStyle name="Input 2" xfId="1322"/>
    <cellStyle name="Input 2 10" xfId="1323"/>
    <cellStyle name="Input 2 11" xfId="1324"/>
    <cellStyle name="Input 2 12" xfId="1325"/>
    <cellStyle name="Input 2 13" xfId="1326"/>
    <cellStyle name="Input 2 14" xfId="1327"/>
    <cellStyle name="Input 2 15" xfId="1328"/>
    <cellStyle name="Input 2 16" xfId="1329"/>
    <cellStyle name="Input 2 17" xfId="1330"/>
    <cellStyle name="Input 2 18" xfId="1331"/>
    <cellStyle name="Input 2 19" xfId="1332"/>
    <cellStyle name="Input 2 2" xfId="1333"/>
    <cellStyle name="Input 2 20" xfId="1334"/>
    <cellStyle name="Input 2 21" xfId="1335"/>
    <cellStyle name="Input 2 22" xfId="1336"/>
    <cellStyle name="Input 2 23" xfId="1337"/>
    <cellStyle name="Input 2 24" xfId="1338"/>
    <cellStyle name="Input 2 25" xfId="1339"/>
    <cellStyle name="Input 2 26" xfId="1340"/>
    <cellStyle name="Input 2 27" xfId="1341"/>
    <cellStyle name="Input 2 28" xfId="1342"/>
    <cellStyle name="Input 2 29" xfId="1343"/>
    <cellStyle name="Input 2 3" xfId="1344"/>
    <cellStyle name="Input 2 30" xfId="1345"/>
    <cellStyle name="Input 2 31" xfId="1346"/>
    <cellStyle name="Input 2 32" xfId="1347"/>
    <cellStyle name="Input 2 33" xfId="1348"/>
    <cellStyle name="Input 2 34" xfId="1349"/>
    <cellStyle name="Input 2 35" xfId="1350"/>
    <cellStyle name="Input 2 36" xfId="1351"/>
    <cellStyle name="Input 2 37" xfId="1352"/>
    <cellStyle name="Input 2 38" xfId="1353"/>
    <cellStyle name="Input 2 39" xfId="1354"/>
    <cellStyle name="Input 2 4" xfId="1355"/>
    <cellStyle name="Input 2 40" xfId="1356"/>
    <cellStyle name="Input 2 41" xfId="1357"/>
    <cellStyle name="Input 2 42" xfId="1358"/>
    <cellStyle name="Input 2 43" xfId="1359"/>
    <cellStyle name="Input 2 44" xfId="1360"/>
    <cellStyle name="Input 2 45" xfId="1361"/>
    <cellStyle name="Input 2 46" xfId="1362"/>
    <cellStyle name="Input 2 47" xfId="1363"/>
    <cellStyle name="Input 2 48" xfId="1364"/>
    <cellStyle name="Input 2 49" xfId="1365"/>
    <cellStyle name="Input 2 5" xfId="1366"/>
    <cellStyle name="Input 2 50" xfId="1367"/>
    <cellStyle name="Input 2 51" xfId="1368"/>
    <cellStyle name="Input 2 52" xfId="1369"/>
    <cellStyle name="Input 2 53" xfId="1370"/>
    <cellStyle name="Input 2 54" xfId="1371"/>
    <cellStyle name="Input 2 55" xfId="1372"/>
    <cellStyle name="Input 2 56" xfId="1373"/>
    <cellStyle name="Input 2 57" xfId="1374"/>
    <cellStyle name="Input 2 58" xfId="1375"/>
    <cellStyle name="Input 2 59" xfId="1376"/>
    <cellStyle name="Input 2 6" xfId="1377"/>
    <cellStyle name="Input 2 60" xfId="1378"/>
    <cellStyle name="Input 2 61" xfId="1379"/>
    <cellStyle name="Input 2 62" xfId="1380"/>
    <cellStyle name="Input 2 63" xfId="1381"/>
    <cellStyle name="Input 2 64" xfId="1382"/>
    <cellStyle name="Input 2 7" xfId="1383"/>
    <cellStyle name="Input 2 8" xfId="1384"/>
    <cellStyle name="Input 2 9" xfId="1385"/>
    <cellStyle name="Input 3" xfId="1386"/>
    <cellStyle name="Linked Cell 2" xfId="1387"/>
    <cellStyle name="Linked Cell 3" xfId="1388"/>
    <cellStyle name="Neutral 2" xfId="1389"/>
    <cellStyle name="Neutral 3" xfId="1390"/>
    <cellStyle name="Normal" xfId="0" builtinId="0"/>
    <cellStyle name="Normal 10" xfId="1391"/>
    <cellStyle name="Normal 10 2" xfId="1392"/>
    <cellStyle name="Normal 10 3" xfId="1393"/>
    <cellStyle name="Normal 10 3 2" xfId="1394"/>
    <cellStyle name="Normal 10 4" xfId="1395"/>
    <cellStyle name="Normal 11" xfId="1396"/>
    <cellStyle name="Normal 11 2" xfId="1397"/>
    <cellStyle name="Normal 12" xfId="1398"/>
    <cellStyle name="Normal 12 2" xfId="1399"/>
    <cellStyle name="Normal 12 2 2" xfId="1400"/>
    <cellStyle name="Normal 12 3" xfId="1401"/>
    <cellStyle name="Normal 13" xfId="1402"/>
    <cellStyle name="Normal 13 2" xfId="1403"/>
    <cellStyle name="Normal 13 2 10" xfId="1404"/>
    <cellStyle name="Normal 13 2 11" xfId="1405"/>
    <cellStyle name="Normal 13 2 12" xfId="1406"/>
    <cellStyle name="Normal 13 2 13" xfId="1407"/>
    <cellStyle name="Normal 13 2 14" xfId="1408"/>
    <cellStyle name="Normal 13 2 15" xfId="1409"/>
    <cellStyle name="Normal 13 2 16" xfId="1410"/>
    <cellStyle name="Normal 13 2 17" xfId="1411"/>
    <cellStyle name="Normal 13 2 18" xfId="1412"/>
    <cellStyle name="Normal 13 2 19" xfId="1413"/>
    <cellStyle name="Normal 13 2 2" xfId="1414"/>
    <cellStyle name="Normal 13 2 20" xfId="1415"/>
    <cellStyle name="Normal 13 2 21" xfId="1416"/>
    <cellStyle name="Normal 13 2 22" xfId="1417"/>
    <cellStyle name="Normal 13 2 23" xfId="1418"/>
    <cellStyle name="Normal 13 2 24" xfId="1419"/>
    <cellStyle name="Normal 13 2 25" xfId="1420"/>
    <cellStyle name="Normal 13 2 26" xfId="1421"/>
    <cellStyle name="Normal 13 2 27" xfId="1422"/>
    <cellStyle name="Normal 13 2 28" xfId="1423"/>
    <cellStyle name="Normal 13 2 29" xfId="1424"/>
    <cellStyle name="Normal 13 2 3" xfId="1425"/>
    <cellStyle name="Normal 13 2 30" xfId="1426"/>
    <cellStyle name="Normal 13 2 31" xfId="1427"/>
    <cellStyle name="Normal 13 2 32" xfId="1428"/>
    <cellStyle name="Normal 13 2 33" xfId="1429"/>
    <cellStyle name="Normal 13 2 34" xfId="1430"/>
    <cellStyle name="Normal 13 2 35" xfId="1431"/>
    <cellStyle name="Normal 13 2 36" xfId="1432"/>
    <cellStyle name="Normal 13 2 37" xfId="1433"/>
    <cellStyle name="Normal 13 2 38" xfId="1434"/>
    <cellStyle name="Normal 13 2 39" xfId="1435"/>
    <cellStyle name="Normal 13 2 4" xfId="1436"/>
    <cellStyle name="Normal 13 2 40" xfId="1437"/>
    <cellStyle name="Normal 13 2 41" xfId="1438"/>
    <cellStyle name="Normal 13 2 42" xfId="1439"/>
    <cellStyle name="Normal 13 2 43" xfId="1440"/>
    <cellStyle name="Normal 13 2 44" xfId="1441"/>
    <cellStyle name="Normal 13 2 45" xfId="1442"/>
    <cellStyle name="Normal 13 2 46" xfId="1443"/>
    <cellStyle name="Normal 13 2 47" xfId="1444"/>
    <cellStyle name="Normal 13 2 48" xfId="1445"/>
    <cellStyle name="Normal 13 2 49" xfId="1446"/>
    <cellStyle name="Normal 13 2 5" xfId="1447"/>
    <cellStyle name="Normal 13 2 50" xfId="1448"/>
    <cellStyle name="Normal 13 2 51" xfId="1449"/>
    <cellStyle name="Normal 13 2 52" xfId="1450"/>
    <cellStyle name="Normal 13 2 53" xfId="1451"/>
    <cellStyle name="Normal 13 2 54" xfId="1452"/>
    <cellStyle name="Normal 13 2 55" xfId="1453"/>
    <cellStyle name="Normal 13 2 56" xfId="1454"/>
    <cellStyle name="Normal 13 2 57" xfId="1455"/>
    <cellStyle name="Normal 13 2 58" xfId="1456"/>
    <cellStyle name="Normal 13 2 59" xfId="1457"/>
    <cellStyle name="Normal 13 2 6" xfId="1458"/>
    <cellStyle name="Normal 13 2 60" xfId="1459"/>
    <cellStyle name="Normal 13 2 61" xfId="1460"/>
    <cellStyle name="Normal 13 2 62" xfId="1461"/>
    <cellStyle name="Normal 13 2 63" xfId="1462"/>
    <cellStyle name="Normal 13 2 64" xfId="1463"/>
    <cellStyle name="Normal 13 2 7" xfId="1464"/>
    <cellStyle name="Normal 13 2 8" xfId="1465"/>
    <cellStyle name="Normal 13 2 9" xfId="1466"/>
    <cellStyle name="Normal 14" xfId="1467"/>
    <cellStyle name="Normal 14 2" xfId="1468"/>
    <cellStyle name="Normal 15" xfId="1469"/>
    <cellStyle name="Normal 15 2" xfId="1470"/>
    <cellStyle name="Normal 15 2 2" xfId="1471"/>
    <cellStyle name="Normal 16" xfId="1472"/>
    <cellStyle name="Normal 16 10" xfId="1473"/>
    <cellStyle name="Normal 16 11" xfId="1474"/>
    <cellStyle name="Normal 16 12" xfId="1475"/>
    <cellStyle name="Normal 16 13" xfId="1476"/>
    <cellStyle name="Normal 16 14" xfId="1477"/>
    <cellStyle name="Normal 16 15" xfId="1478"/>
    <cellStyle name="Normal 16 16" xfId="1479"/>
    <cellStyle name="Normal 16 17" xfId="1480"/>
    <cellStyle name="Normal 16 18" xfId="1481"/>
    <cellStyle name="Normal 16 19" xfId="1482"/>
    <cellStyle name="Normal 16 2" xfId="1483"/>
    <cellStyle name="Normal 16 20" xfId="1484"/>
    <cellStyle name="Normal 16 21" xfId="1485"/>
    <cellStyle name="Normal 16 22" xfId="1486"/>
    <cellStyle name="Normal 16 23" xfId="1487"/>
    <cellStyle name="Normal 16 24" xfId="1488"/>
    <cellStyle name="Normal 16 25" xfId="1489"/>
    <cellStyle name="Normal 16 26" xfId="1490"/>
    <cellStyle name="Normal 16 27" xfId="1491"/>
    <cellStyle name="Normal 16 28" xfId="1492"/>
    <cellStyle name="Normal 16 29" xfId="1493"/>
    <cellStyle name="Normal 16 3" xfId="1494"/>
    <cellStyle name="Normal 16 30" xfId="1495"/>
    <cellStyle name="Normal 16 31" xfId="1496"/>
    <cellStyle name="Normal 16 32" xfId="1497"/>
    <cellStyle name="Normal 16 33" xfId="1498"/>
    <cellStyle name="Normal 16 34" xfId="1499"/>
    <cellStyle name="Normal 16 35" xfId="1500"/>
    <cellStyle name="Normal 16 36" xfId="1501"/>
    <cellStyle name="Normal 16 37" xfId="1502"/>
    <cellStyle name="Normal 16 38" xfId="1503"/>
    <cellStyle name="Normal 16 39" xfId="1504"/>
    <cellStyle name="Normal 16 4" xfId="1505"/>
    <cellStyle name="Normal 16 40" xfId="1506"/>
    <cellStyle name="Normal 16 41" xfId="1507"/>
    <cellStyle name="Normal 16 42" xfId="1508"/>
    <cellStyle name="Normal 16 43" xfId="1509"/>
    <cellStyle name="Normal 16 44" xfId="1510"/>
    <cellStyle name="Normal 16 45" xfId="1511"/>
    <cellStyle name="Normal 16 46" xfId="1512"/>
    <cellStyle name="Normal 16 47" xfId="1513"/>
    <cellStyle name="Normal 16 48" xfId="1514"/>
    <cellStyle name="Normal 16 49" xfId="1515"/>
    <cellStyle name="Normal 16 5" xfId="1516"/>
    <cellStyle name="Normal 16 50" xfId="1517"/>
    <cellStyle name="Normal 16 51" xfId="1518"/>
    <cellStyle name="Normal 16 52" xfId="1519"/>
    <cellStyle name="Normal 16 53" xfId="1520"/>
    <cellStyle name="Normal 16 54" xfId="1521"/>
    <cellStyle name="Normal 16 55" xfId="1522"/>
    <cellStyle name="Normal 16 56" xfId="1523"/>
    <cellStyle name="Normal 16 57" xfId="1524"/>
    <cellStyle name="Normal 16 58" xfId="1525"/>
    <cellStyle name="Normal 16 59" xfId="1526"/>
    <cellStyle name="Normal 16 6" xfId="1527"/>
    <cellStyle name="Normal 16 60" xfId="1528"/>
    <cellStyle name="Normal 16 61" xfId="1529"/>
    <cellStyle name="Normal 16 62" xfId="1530"/>
    <cellStyle name="Normal 16 63" xfId="1531"/>
    <cellStyle name="Normal 16 64" xfId="1532"/>
    <cellStyle name="Normal 16 7" xfId="1533"/>
    <cellStyle name="Normal 16 8" xfId="1534"/>
    <cellStyle name="Normal 16 9" xfId="1535"/>
    <cellStyle name="Normal 17" xfId="1536"/>
    <cellStyle name="Normal 17 2" xfId="1537"/>
    <cellStyle name="Normal 18" xfId="1538"/>
    <cellStyle name="Normal 18 2" xfId="1539"/>
    <cellStyle name="Normal 18 3" xfId="1540"/>
    <cellStyle name="Normal 18 3 2" xfId="1541"/>
    <cellStyle name="Normal 18 4" xfId="1542"/>
    <cellStyle name="Normal 19" xfId="1543"/>
    <cellStyle name="Normal 19 2" xfId="1544"/>
    <cellStyle name="Normal 19 3" xfId="1545"/>
    <cellStyle name="Normal 2" xfId="4"/>
    <cellStyle name="Normal 2 2" xfId="1546"/>
    <cellStyle name="Normal 2 2 2" xfId="1547"/>
    <cellStyle name="Normal 2 2 2 2" xfId="1548"/>
    <cellStyle name="Normal 2 2 3" xfId="1549"/>
    <cellStyle name="Normal 2 3" xfId="1550"/>
    <cellStyle name="Normal 2 3 2" xfId="1551"/>
    <cellStyle name="Normal 2 4" xfId="1552"/>
    <cellStyle name="Normal 2 5" xfId="1553"/>
    <cellStyle name="Normal 2 5 2" xfId="1554"/>
    <cellStyle name="Normal 2 6" xfId="1555"/>
    <cellStyle name="Normal 2 6 2" xfId="1556"/>
    <cellStyle name="Normal 2 7" xfId="1557"/>
    <cellStyle name="Normal 2 7 10" xfId="1558"/>
    <cellStyle name="Normal 2 7 11" xfId="1559"/>
    <cellStyle name="Normal 2 7 12" xfId="1560"/>
    <cellStyle name="Normal 2 7 13" xfId="1561"/>
    <cellStyle name="Normal 2 7 14" xfId="1562"/>
    <cellStyle name="Normal 2 7 15" xfId="1563"/>
    <cellStyle name="Normal 2 7 16" xfId="1564"/>
    <cellStyle name="Normal 2 7 17" xfId="1565"/>
    <cellStyle name="Normal 2 7 18" xfId="1566"/>
    <cellStyle name="Normal 2 7 19" xfId="1567"/>
    <cellStyle name="Normal 2 7 2" xfId="1568"/>
    <cellStyle name="Normal 2 7 20" xfId="1569"/>
    <cellStyle name="Normal 2 7 21" xfId="1570"/>
    <cellStyle name="Normal 2 7 22" xfId="1571"/>
    <cellStyle name="Normal 2 7 23" xfId="1572"/>
    <cellStyle name="Normal 2 7 24" xfId="1573"/>
    <cellStyle name="Normal 2 7 25" xfId="1574"/>
    <cellStyle name="Normal 2 7 26" xfId="1575"/>
    <cellStyle name="Normal 2 7 27" xfId="1576"/>
    <cellStyle name="Normal 2 7 28" xfId="1577"/>
    <cellStyle name="Normal 2 7 29" xfId="1578"/>
    <cellStyle name="Normal 2 7 3" xfId="1579"/>
    <cellStyle name="Normal 2 7 30" xfId="1580"/>
    <cellStyle name="Normal 2 7 31" xfId="1581"/>
    <cellStyle name="Normal 2 7 32" xfId="1582"/>
    <cellStyle name="Normal 2 7 33" xfId="1583"/>
    <cellStyle name="Normal 2 7 34" xfId="1584"/>
    <cellStyle name="Normal 2 7 35" xfId="1585"/>
    <cellStyle name="Normal 2 7 36" xfId="1586"/>
    <cellStyle name="Normal 2 7 37" xfId="1587"/>
    <cellStyle name="Normal 2 7 38" xfId="1588"/>
    <cellStyle name="Normal 2 7 39" xfId="1589"/>
    <cellStyle name="Normal 2 7 4" xfId="1590"/>
    <cellStyle name="Normal 2 7 40" xfId="1591"/>
    <cellStyle name="Normal 2 7 41" xfId="1592"/>
    <cellStyle name="Normal 2 7 42" xfId="1593"/>
    <cellStyle name="Normal 2 7 43" xfId="1594"/>
    <cellStyle name="Normal 2 7 44" xfId="1595"/>
    <cellStyle name="Normal 2 7 45" xfId="1596"/>
    <cellStyle name="Normal 2 7 46" xfId="1597"/>
    <cellStyle name="Normal 2 7 47" xfId="1598"/>
    <cellStyle name="Normal 2 7 48" xfId="1599"/>
    <cellStyle name="Normal 2 7 49" xfId="1600"/>
    <cellStyle name="Normal 2 7 5" xfId="1601"/>
    <cellStyle name="Normal 2 7 50" xfId="1602"/>
    <cellStyle name="Normal 2 7 51" xfId="1603"/>
    <cellStyle name="Normal 2 7 52" xfId="1604"/>
    <cellStyle name="Normal 2 7 53" xfId="1605"/>
    <cellStyle name="Normal 2 7 54" xfId="1606"/>
    <cellStyle name="Normal 2 7 55" xfId="1607"/>
    <cellStyle name="Normal 2 7 56" xfId="1608"/>
    <cellStyle name="Normal 2 7 57" xfId="1609"/>
    <cellStyle name="Normal 2 7 58" xfId="1610"/>
    <cellStyle name="Normal 2 7 59" xfId="1611"/>
    <cellStyle name="Normal 2 7 6" xfId="1612"/>
    <cellStyle name="Normal 2 7 60" xfId="1613"/>
    <cellStyle name="Normal 2 7 61" xfId="1614"/>
    <cellStyle name="Normal 2 7 62" xfId="1615"/>
    <cellStyle name="Normal 2 7 63" xfId="1616"/>
    <cellStyle name="Normal 2 7 64" xfId="1617"/>
    <cellStyle name="Normal 2 7 7" xfId="1618"/>
    <cellStyle name="Normal 2 7 8" xfId="1619"/>
    <cellStyle name="Normal 2 7 9" xfId="1620"/>
    <cellStyle name="Normal 2 8" xfId="1621"/>
    <cellStyle name="Normal 2 8 2" xfId="1622"/>
    <cellStyle name="Normal 2 9" xfId="1623"/>
    <cellStyle name="Normal 2 9 2" xfId="1624"/>
    <cellStyle name="Normal 2_Realisasi 2010 Hasil Audited BPK RI" xfId="1625"/>
    <cellStyle name="Normal 20" xfId="1626"/>
    <cellStyle name="Normal 20 2" xfId="1627"/>
    <cellStyle name="Normal 21" xfId="1628"/>
    <cellStyle name="Normal 21 2" xfId="1629"/>
    <cellStyle name="Normal 21 3" xfId="1630"/>
    <cellStyle name="Normal 21 3 2" xfId="1631"/>
    <cellStyle name="Normal 21 3 2 2" xfId="1632"/>
    <cellStyle name="Normal 21 3 3" xfId="1633"/>
    <cellStyle name="Normal 22" xfId="1634"/>
    <cellStyle name="Normal 22 2" xfId="1635"/>
    <cellStyle name="Normal 22 2 2" xfId="1636"/>
    <cellStyle name="Normal 3" xfId="1637"/>
    <cellStyle name="Normal 3 2" xfId="1638"/>
    <cellStyle name="Normal 3 3" xfId="1639"/>
    <cellStyle name="Normal 3 3 2" xfId="1640"/>
    <cellStyle name="Normal 3 3 2 2" xfId="1641"/>
    <cellStyle name="Normal 3 3 2 2 2" xfId="1642"/>
    <cellStyle name="Normal 3 3 2 3" xfId="1643"/>
    <cellStyle name="Normal 3 3 3" xfId="1644"/>
    <cellStyle name="Normal 3 3 3 2" xfId="1645"/>
    <cellStyle name="Normal 3 3 4" xfId="1646"/>
    <cellStyle name="Normal 3 4" xfId="1647"/>
    <cellStyle name="Normal 3 4 2" xfId="1648"/>
    <cellStyle name="Normal 3 4 2 2" xfId="1649"/>
    <cellStyle name="Normal 3 4 3" xfId="1650"/>
    <cellStyle name="Normal 3 5" xfId="1651"/>
    <cellStyle name="Normal 3 5 2" xfId="1652"/>
    <cellStyle name="Normal 3_8.Lampiran LK Tahun 2007 (20-06-08) Rev 1&amp;2" xfId="1653"/>
    <cellStyle name="Normal 4" xfId="1654"/>
    <cellStyle name="Normal 4 2" xfId="1655"/>
    <cellStyle name="Normal 4 2 2" xfId="1656"/>
    <cellStyle name="Normal 4 2 2 2" xfId="1657"/>
    <cellStyle name="Normal 4 2 3" xfId="1658"/>
    <cellStyle name="Normal 4 3" xfId="1659"/>
    <cellStyle name="Normal 5" xfId="1660"/>
    <cellStyle name="Normal 5 2" xfId="1661"/>
    <cellStyle name="Normal 5 2 2" xfId="1662"/>
    <cellStyle name="Normal 5 3" xfId="1663"/>
    <cellStyle name="Normal 5 3 10" xfId="1664"/>
    <cellStyle name="Normal 5 3 11" xfId="1665"/>
    <cellStyle name="Normal 5 3 12" xfId="1666"/>
    <cellStyle name="Normal 5 3 13" xfId="1667"/>
    <cellStyle name="Normal 5 3 14" xfId="1668"/>
    <cellStyle name="Normal 5 3 15" xfId="1669"/>
    <cellStyle name="Normal 5 3 16" xfId="1670"/>
    <cellStyle name="Normal 5 3 17" xfId="1671"/>
    <cellStyle name="Normal 5 3 18" xfId="1672"/>
    <cellStyle name="Normal 5 3 19" xfId="1673"/>
    <cellStyle name="Normal 5 3 2" xfId="1674"/>
    <cellStyle name="Normal 5 3 20" xfId="1675"/>
    <cellStyle name="Normal 5 3 21" xfId="1676"/>
    <cellStyle name="Normal 5 3 22" xfId="1677"/>
    <cellStyle name="Normal 5 3 23" xfId="1678"/>
    <cellStyle name="Normal 5 3 24" xfId="1679"/>
    <cellStyle name="Normal 5 3 25" xfId="1680"/>
    <cellStyle name="Normal 5 3 26" xfId="1681"/>
    <cellStyle name="Normal 5 3 27" xfId="1682"/>
    <cellStyle name="Normal 5 3 28" xfId="1683"/>
    <cellStyle name="Normal 5 3 29" xfId="1684"/>
    <cellStyle name="Normal 5 3 3" xfId="1685"/>
    <cellStyle name="Normal 5 3 30" xfId="1686"/>
    <cellStyle name="Normal 5 3 31" xfId="1687"/>
    <cellStyle name="Normal 5 3 32" xfId="1688"/>
    <cellStyle name="Normal 5 3 33" xfId="1689"/>
    <cellStyle name="Normal 5 3 34" xfId="1690"/>
    <cellStyle name="Normal 5 3 35" xfId="1691"/>
    <cellStyle name="Normal 5 3 36" xfId="1692"/>
    <cellStyle name="Normal 5 3 37" xfId="1693"/>
    <cellStyle name="Normal 5 3 38" xfId="1694"/>
    <cellStyle name="Normal 5 3 39" xfId="1695"/>
    <cellStyle name="Normal 5 3 4" xfId="1696"/>
    <cellStyle name="Normal 5 3 40" xfId="1697"/>
    <cellStyle name="Normal 5 3 41" xfId="1698"/>
    <cellStyle name="Normal 5 3 42" xfId="1699"/>
    <cellStyle name="Normal 5 3 43" xfId="1700"/>
    <cellStyle name="Normal 5 3 44" xfId="1701"/>
    <cellStyle name="Normal 5 3 45" xfId="1702"/>
    <cellStyle name="Normal 5 3 46" xfId="1703"/>
    <cellStyle name="Normal 5 3 47" xfId="1704"/>
    <cellStyle name="Normal 5 3 48" xfId="1705"/>
    <cellStyle name="Normal 5 3 49" xfId="1706"/>
    <cellStyle name="Normal 5 3 5" xfId="1707"/>
    <cellStyle name="Normal 5 3 50" xfId="1708"/>
    <cellStyle name="Normal 5 3 51" xfId="1709"/>
    <cellStyle name="Normal 5 3 52" xfId="1710"/>
    <cellStyle name="Normal 5 3 53" xfId="1711"/>
    <cellStyle name="Normal 5 3 54" xfId="1712"/>
    <cellStyle name="Normal 5 3 55" xfId="1713"/>
    <cellStyle name="Normal 5 3 56" xfId="1714"/>
    <cellStyle name="Normal 5 3 57" xfId="1715"/>
    <cellStyle name="Normal 5 3 58" xfId="1716"/>
    <cellStyle name="Normal 5 3 59" xfId="1717"/>
    <cellStyle name="Normal 5 3 6" xfId="1718"/>
    <cellStyle name="Normal 5 3 60" xfId="1719"/>
    <cellStyle name="Normal 5 3 61" xfId="1720"/>
    <cellStyle name="Normal 5 3 62" xfId="1721"/>
    <cellStyle name="Normal 5 3 63" xfId="1722"/>
    <cellStyle name="Normal 5 3 64" xfId="1723"/>
    <cellStyle name="Normal 5 3 7" xfId="1724"/>
    <cellStyle name="Normal 5 3 8" xfId="1725"/>
    <cellStyle name="Normal 5 3 9" xfId="1726"/>
    <cellStyle name="Normal 5 4" xfId="1727"/>
    <cellStyle name="Normal 5 4 10" xfId="1728"/>
    <cellStyle name="Normal 5 4 11" xfId="1729"/>
    <cellStyle name="Normal 5 4 12" xfId="1730"/>
    <cellStyle name="Normal 5 4 13" xfId="1731"/>
    <cellStyle name="Normal 5 4 14" xfId="1732"/>
    <cellStyle name="Normal 5 4 15" xfId="1733"/>
    <cellStyle name="Normal 5 4 16" xfId="1734"/>
    <cellStyle name="Normal 5 4 17" xfId="1735"/>
    <cellStyle name="Normal 5 4 18" xfId="1736"/>
    <cellStyle name="Normal 5 4 19" xfId="1737"/>
    <cellStyle name="Normal 5 4 2" xfId="1738"/>
    <cellStyle name="Normal 5 4 20" xfId="1739"/>
    <cellStyle name="Normal 5 4 21" xfId="1740"/>
    <cellStyle name="Normal 5 4 22" xfId="1741"/>
    <cellStyle name="Normal 5 4 23" xfId="1742"/>
    <cellStyle name="Normal 5 4 24" xfId="1743"/>
    <cellStyle name="Normal 5 4 25" xfId="1744"/>
    <cellStyle name="Normal 5 4 26" xfId="1745"/>
    <cellStyle name="Normal 5 4 27" xfId="1746"/>
    <cellStyle name="Normal 5 4 28" xfId="1747"/>
    <cellStyle name="Normal 5 4 29" xfId="1748"/>
    <cellStyle name="Normal 5 4 3" xfId="1749"/>
    <cellStyle name="Normal 5 4 30" xfId="1750"/>
    <cellStyle name="Normal 5 4 31" xfId="1751"/>
    <cellStyle name="Normal 5 4 32" xfId="1752"/>
    <cellStyle name="Normal 5 4 33" xfId="1753"/>
    <cellStyle name="Normal 5 4 34" xfId="1754"/>
    <cellStyle name="Normal 5 4 35" xfId="1755"/>
    <cellStyle name="Normal 5 4 36" xfId="1756"/>
    <cellStyle name="Normal 5 4 37" xfId="1757"/>
    <cellStyle name="Normal 5 4 38" xfId="1758"/>
    <cellStyle name="Normal 5 4 39" xfId="1759"/>
    <cellStyle name="Normal 5 4 4" xfId="1760"/>
    <cellStyle name="Normal 5 4 40" xfId="1761"/>
    <cellStyle name="Normal 5 4 41" xfId="1762"/>
    <cellStyle name="Normal 5 4 42" xfId="1763"/>
    <cellStyle name="Normal 5 4 43" xfId="1764"/>
    <cellStyle name="Normal 5 4 44" xfId="1765"/>
    <cellStyle name="Normal 5 4 45" xfId="1766"/>
    <cellStyle name="Normal 5 4 46" xfId="1767"/>
    <cellStyle name="Normal 5 4 47" xfId="1768"/>
    <cellStyle name="Normal 5 4 48" xfId="1769"/>
    <cellStyle name="Normal 5 4 49" xfId="1770"/>
    <cellStyle name="Normal 5 4 5" xfId="1771"/>
    <cellStyle name="Normal 5 4 50" xfId="1772"/>
    <cellStyle name="Normal 5 4 51" xfId="1773"/>
    <cellStyle name="Normal 5 4 52" xfId="1774"/>
    <cellStyle name="Normal 5 4 53" xfId="1775"/>
    <cellStyle name="Normal 5 4 54" xfId="1776"/>
    <cellStyle name="Normal 5 4 55" xfId="1777"/>
    <cellStyle name="Normal 5 4 56" xfId="1778"/>
    <cellStyle name="Normal 5 4 57" xfId="1779"/>
    <cellStyle name="Normal 5 4 58" xfId="1780"/>
    <cellStyle name="Normal 5 4 59" xfId="1781"/>
    <cellStyle name="Normal 5 4 6" xfId="1782"/>
    <cellStyle name="Normal 5 4 60" xfId="1783"/>
    <cellStyle name="Normal 5 4 61" xfId="1784"/>
    <cellStyle name="Normal 5 4 62" xfId="1785"/>
    <cellStyle name="Normal 5 4 63" xfId="1786"/>
    <cellStyle name="Normal 5 4 64" xfId="1787"/>
    <cellStyle name="Normal 5 4 7" xfId="1788"/>
    <cellStyle name="Normal 5 4 8" xfId="1789"/>
    <cellStyle name="Normal 5 4 9" xfId="1790"/>
    <cellStyle name="Normal 5 5" xfId="1791"/>
    <cellStyle name="Normal 5 6" xfId="1792"/>
    <cellStyle name="Normal 5_8.Lampiran LK Tahun 2007 (20-06-08) Rev 1&amp;2" xfId="1793"/>
    <cellStyle name="Normal 6" xfId="1794"/>
    <cellStyle name="Normal 6 2" xfId="1795"/>
    <cellStyle name="Normal 7" xfId="1796"/>
    <cellStyle name="Normal 7 2" xfId="1797"/>
    <cellStyle name="Normal 7 2 2" xfId="1798"/>
    <cellStyle name="Normal 7 3" xfId="1799"/>
    <cellStyle name="Normal 7_8.Lampiran LK Tahun 2007 (20-06-08) Rev 1&amp;2" xfId="1800"/>
    <cellStyle name="Normal 8" xfId="1801"/>
    <cellStyle name="Normal 8 2" xfId="1802"/>
    <cellStyle name="Normal 8 2 2" xfId="1803"/>
    <cellStyle name="Normal 8_Book2" xfId="1804"/>
    <cellStyle name="Normal 9" xfId="1805"/>
    <cellStyle name="Normal 9 2" xfId="1806"/>
    <cellStyle name="Normal 9 2 2" xfId="1807"/>
    <cellStyle name="Normal 9_Book2" xfId="1808"/>
    <cellStyle name="Normal_Real Tahun 2006 Stlh Prbhan 2" xfId="2"/>
    <cellStyle name="Normal_Realisasi PAD 2008 yang melebihi target 2" xfId="6"/>
    <cellStyle name="Note 2" xfId="1809"/>
    <cellStyle name="Note 2 10" xfId="1810"/>
    <cellStyle name="Note 2 11" xfId="1811"/>
    <cellStyle name="Note 2 12" xfId="1812"/>
    <cellStyle name="Note 2 13" xfId="1813"/>
    <cellStyle name="Note 2 14" xfId="1814"/>
    <cellStyle name="Note 2 15" xfId="1815"/>
    <cellStyle name="Note 2 16" xfId="1816"/>
    <cellStyle name="Note 2 17" xfId="1817"/>
    <cellStyle name="Note 2 18" xfId="1818"/>
    <cellStyle name="Note 2 19" xfId="1819"/>
    <cellStyle name="Note 2 2" xfId="1820"/>
    <cellStyle name="Note 2 20" xfId="1821"/>
    <cellStyle name="Note 2 21" xfId="1822"/>
    <cellStyle name="Note 2 22" xfId="1823"/>
    <cellStyle name="Note 2 23" xfId="1824"/>
    <cellStyle name="Note 2 24" xfId="1825"/>
    <cellStyle name="Note 2 25" xfId="1826"/>
    <cellStyle name="Note 2 26" xfId="1827"/>
    <cellStyle name="Note 2 27" xfId="1828"/>
    <cellStyle name="Note 2 28" xfId="1829"/>
    <cellStyle name="Note 2 29" xfId="1830"/>
    <cellStyle name="Note 2 3" xfId="1831"/>
    <cellStyle name="Note 2 30" xfId="1832"/>
    <cellStyle name="Note 2 31" xfId="1833"/>
    <cellStyle name="Note 2 32" xfId="1834"/>
    <cellStyle name="Note 2 33" xfId="1835"/>
    <cellStyle name="Note 2 34" xfId="1836"/>
    <cellStyle name="Note 2 35" xfId="1837"/>
    <cellStyle name="Note 2 36" xfId="1838"/>
    <cellStyle name="Note 2 37" xfId="1839"/>
    <cellStyle name="Note 2 38" xfId="1840"/>
    <cellStyle name="Note 2 39" xfId="1841"/>
    <cellStyle name="Note 2 4" xfId="1842"/>
    <cellStyle name="Note 2 40" xfId="1843"/>
    <cellStyle name="Note 2 41" xfId="1844"/>
    <cellStyle name="Note 2 42" xfId="1845"/>
    <cellStyle name="Note 2 43" xfId="1846"/>
    <cellStyle name="Note 2 44" xfId="1847"/>
    <cellStyle name="Note 2 45" xfId="1848"/>
    <cellStyle name="Note 2 46" xfId="1849"/>
    <cellStyle name="Note 2 47" xfId="1850"/>
    <cellStyle name="Note 2 48" xfId="1851"/>
    <cellStyle name="Note 2 49" xfId="1852"/>
    <cellStyle name="Note 2 5" xfId="1853"/>
    <cellStyle name="Note 2 50" xfId="1854"/>
    <cellStyle name="Note 2 51" xfId="1855"/>
    <cellStyle name="Note 2 52" xfId="1856"/>
    <cellStyle name="Note 2 53" xfId="1857"/>
    <cellStyle name="Note 2 54" xfId="1858"/>
    <cellStyle name="Note 2 55" xfId="1859"/>
    <cellStyle name="Note 2 56" xfId="1860"/>
    <cellStyle name="Note 2 57" xfId="1861"/>
    <cellStyle name="Note 2 58" xfId="1862"/>
    <cellStyle name="Note 2 59" xfId="1863"/>
    <cellStyle name="Note 2 6" xfId="1864"/>
    <cellStyle name="Note 2 60" xfId="1865"/>
    <cellStyle name="Note 2 61" xfId="1866"/>
    <cellStyle name="Note 2 62" xfId="1867"/>
    <cellStyle name="Note 2 63" xfId="1868"/>
    <cellStyle name="Note 2 64" xfId="1869"/>
    <cellStyle name="Note 2 7" xfId="1870"/>
    <cellStyle name="Note 2 8" xfId="1871"/>
    <cellStyle name="Note 2 9" xfId="1872"/>
    <cellStyle name="Note 3" xfId="1873"/>
    <cellStyle name="Note 3 2" xfId="1874"/>
    <cellStyle name="Note 3 2 2" xfId="1875"/>
    <cellStyle name="Note 3 3" xfId="1876"/>
    <cellStyle name="Note 4" xfId="1877"/>
    <cellStyle name="Note 4 10" xfId="1878"/>
    <cellStyle name="Note 4 11" xfId="1879"/>
    <cellStyle name="Note 4 12" xfId="1880"/>
    <cellStyle name="Note 4 13" xfId="1881"/>
    <cellStyle name="Note 4 14" xfId="1882"/>
    <cellStyle name="Note 4 15" xfId="1883"/>
    <cellStyle name="Note 4 16" xfId="1884"/>
    <cellStyle name="Note 4 17" xfId="1885"/>
    <cellStyle name="Note 4 18" xfId="1886"/>
    <cellStyle name="Note 4 19" xfId="1887"/>
    <cellStyle name="Note 4 2" xfId="1888"/>
    <cellStyle name="Note 4 20" xfId="1889"/>
    <cellStyle name="Note 4 21" xfId="1890"/>
    <cellStyle name="Note 4 22" xfId="1891"/>
    <cellStyle name="Note 4 23" xfId="1892"/>
    <cellStyle name="Note 4 24" xfId="1893"/>
    <cellStyle name="Note 4 25" xfId="1894"/>
    <cellStyle name="Note 4 26" xfId="1895"/>
    <cellStyle name="Note 4 27" xfId="1896"/>
    <cellStyle name="Note 4 28" xfId="1897"/>
    <cellStyle name="Note 4 29" xfId="1898"/>
    <cellStyle name="Note 4 3" xfId="1899"/>
    <cellStyle name="Note 4 30" xfId="1900"/>
    <cellStyle name="Note 4 31" xfId="1901"/>
    <cellStyle name="Note 4 32" xfId="1902"/>
    <cellStyle name="Note 4 33" xfId="1903"/>
    <cellStyle name="Note 4 34" xfId="1904"/>
    <cellStyle name="Note 4 35" xfId="1905"/>
    <cellStyle name="Note 4 36" xfId="1906"/>
    <cellStyle name="Note 4 37" xfId="1907"/>
    <cellStyle name="Note 4 38" xfId="1908"/>
    <cellStyle name="Note 4 39" xfId="1909"/>
    <cellStyle name="Note 4 4" xfId="1910"/>
    <cellStyle name="Note 4 40" xfId="1911"/>
    <cellStyle name="Note 4 41" xfId="1912"/>
    <cellStyle name="Note 4 42" xfId="1913"/>
    <cellStyle name="Note 4 43" xfId="1914"/>
    <cellStyle name="Note 4 44" xfId="1915"/>
    <cellStyle name="Note 4 45" xfId="1916"/>
    <cellStyle name="Note 4 46" xfId="1917"/>
    <cellStyle name="Note 4 47" xfId="1918"/>
    <cellStyle name="Note 4 48" xfId="1919"/>
    <cellStyle name="Note 4 49" xfId="1920"/>
    <cellStyle name="Note 4 5" xfId="1921"/>
    <cellStyle name="Note 4 50" xfId="1922"/>
    <cellStyle name="Note 4 51" xfId="1923"/>
    <cellStyle name="Note 4 52" xfId="1924"/>
    <cellStyle name="Note 4 53" xfId="1925"/>
    <cellStyle name="Note 4 54" xfId="1926"/>
    <cellStyle name="Note 4 55" xfId="1927"/>
    <cellStyle name="Note 4 56" xfId="1928"/>
    <cellStyle name="Note 4 57" xfId="1929"/>
    <cellStyle name="Note 4 58" xfId="1930"/>
    <cellStyle name="Note 4 59" xfId="1931"/>
    <cellStyle name="Note 4 6" xfId="1932"/>
    <cellStyle name="Note 4 60" xfId="1933"/>
    <cellStyle name="Note 4 61" xfId="1934"/>
    <cellStyle name="Note 4 62" xfId="1935"/>
    <cellStyle name="Note 4 63" xfId="1936"/>
    <cellStyle name="Note 4 64" xfId="1937"/>
    <cellStyle name="Note 4 7" xfId="1938"/>
    <cellStyle name="Note 4 8" xfId="1939"/>
    <cellStyle name="Note 4 9" xfId="1940"/>
    <cellStyle name="Output 2" xfId="1941"/>
    <cellStyle name="Output 2 10" xfId="1942"/>
    <cellStyle name="Output 2 11" xfId="1943"/>
    <cellStyle name="Output 2 12" xfId="1944"/>
    <cellStyle name="Output 2 13" xfId="1945"/>
    <cellStyle name="Output 2 14" xfId="1946"/>
    <cellStyle name="Output 2 15" xfId="1947"/>
    <cellStyle name="Output 2 16" xfId="1948"/>
    <cellStyle name="Output 2 17" xfId="1949"/>
    <cellStyle name="Output 2 18" xfId="1950"/>
    <cellStyle name="Output 2 19" xfId="1951"/>
    <cellStyle name="Output 2 2" xfId="1952"/>
    <cellStyle name="Output 2 20" xfId="1953"/>
    <cellStyle name="Output 2 21" xfId="1954"/>
    <cellStyle name="Output 2 22" xfId="1955"/>
    <cellStyle name="Output 2 23" xfId="1956"/>
    <cellStyle name="Output 2 24" xfId="1957"/>
    <cellStyle name="Output 2 25" xfId="1958"/>
    <cellStyle name="Output 2 26" xfId="1959"/>
    <cellStyle name="Output 2 27" xfId="1960"/>
    <cellStyle name="Output 2 28" xfId="1961"/>
    <cellStyle name="Output 2 29" xfId="1962"/>
    <cellStyle name="Output 2 3" xfId="1963"/>
    <cellStyle name="Output 2 30" xfId="1964"/>
    <cellStyle name="Output 2 31" xfId="1965"/>
    <cellStyle name="Output 2 32" xfId="1966"/>
    <cellStyle name="Output 2 33" xfId="1967"/>
    <cellStyle name="Output 2 34" xfId="1968"/>
    <cellStyle name="Output 2 35" xfId="1969"/>
    <cellStyle name="Output 2 36" xfId="1970"/>
    <cellStyle name="Output 2 37" xfId="1971"/>
    <cellStyle name="Output 2 38" xfId="1972"/>
    <cellStyle name="Output 2 39" xfId="1973"/>
    <cellStyle name="Output 2 4" xfId="1974"/>
    <cellStyle name="Output 2 40" xfId="1975"/>
    <cellStyle name="Output 2 41" xfId="1976"/>
    <cellStyle name="Output 2 42" xfId="1977"/>
    <cellStyle name="Output 2 43" xfId="1978"/>
    <cellStyle name="Output 2 44" xfId="1979"/>
    <cellStyle name="Output 2 45" xfId="1980"/>
    <cellStyle name="Output 2 46" xfId="1981"/>
    <cellStyle name="Output 2 47" xfId="1982"/>
    <cellStyle name="Output 2 48" xfId="1983"/>
    <cellStyle name="Output 2 49" xfId="1984"/>
    <cellStyle name="Output 2 5" xfId="1985"/>
    <cellStyle name="Output 2 50" xfId="1986"/>
    <cellStyle name="Output 2 51" xfId="1987"/>
    <cellStyle name="Output 2 52" xfId="1988"/>
    <cellStyle name="Output 2 53" xfId="1989"/>
    <cellStyle name="Output 2 54" xfId="1990"/>
    <cellStyle name="Output 2 55" xfId="1991"/>
    <cellStyle name="Output 2 56" xfId="1992"/>
    <cellStyle name="Output 2 57" xfId="1993"/>
    <cellStyle name="Output 2 58" xfId="1994"/>
    <cellStyle name="Output 2 59" xfId="1995"/>
    <cellStyle name="Output 2 6" xfId="1996"/>
    <cellStyle name="Output 2 60" xfId="1997"/>
    <cellStyle name="Output 2 61" xfId="1998"/>
    <cellStyle name="Output 2 62" xfId="1999"/>
    <cellStyle name="Output 2 63" xfId="2000"/>
    <cellStyle name="Output 2 64" xfId="2001"/>
    <cellStyle name="Output 2 7" xfId="2002"/>
    <cellStyle name="Output 2 8" xfId="2003"/>
    <cellStyle name="Output 2 9" xfId="2004"/>
    <cellStyle name="Output 3" xfId="2005"/>
    <cellStyle name="Percent 2" xfId="2006"/>
    <cellStyle name="Percent 2 2" xfId="2007"/>
    <cellStyle name="Percent 2 3" xfId="2008"/>
    <cellStyle name="Percent 2 4" xfId="2009"/>
    <cellStyle name="Percent 2 4 10" xfId="2010"/>
    <cellStyle name="Percent 2 4 11" xfId="2011"/>
    <cellStyle name="Percent 2 4 12" xfId="2012"/>
    <cellStyle name="Percent 2 4 13" xfId="2013"/>
    <cellStyle name="Percent 2 4 14" xfId="2014"/>
    <cellStyle name="Percent 2 4 15" xfId="2015"/>
    <cellStyle name="Percent 2 4 16" xfId="2016"/>
    <cellStyle name="Percent 2 4 17" xfId="2017"/>
    <cellStyle name="Percent 2 4 18" xfId="2018"/>
    <cellStyle name="Percent 2 4 19" xfId="2019"/>
    <cellStyle name="Percent 2 4 2" xfId="2020"/>
    <cellStyle name="Percent 2 4 20" xfId="2021"/>
    <cellStyle name="Percent 2 4 21" xfId="2022"/>
    <cellStyle name="Percent 2 4 22" xfId="2023"/>
    <cellStyle name="Percent 2 4 23" xfId="2024"/>
    <cellStyle name="Percent 2 4 24" xfId="2025"/>
    <cellStyle name="Percent 2 4 25" xfId="2026"/>
    <cellStyle name="Percent 2 4 26" xfId="2027"/>
    <cellStyle name="Percent 2 4 27" xfId="2028"/>
    <cellStyle name="Percent 2 4 28" xfId="2029"/>
    <cellStyle name="Percent 2 4 29" xfId="2030"/>
    <cellStyle name="Percent 2 4 3" xfId="2031"/>
    <cellStyle name="Percent 2 4 30" xfId="2032"/>
    <cellStyle name="Percent 2 4 31" xfId="2033"/>
    <cellStyle name="Percent 2 4 32" xfId="2034"/>
    <cellStyle name="Percent 2 4 33" xfId="2035"/>
    <cellStyle name="Percent 2 4 34" xfId="2036"/>
    <cellStyle name="Percent 2 4 35" xfId="2037"/>
    <cellStyle name="Percent 2 4 36" xfId="2038"/>
    <cellStyle name="Percent 2 4 37" xfId="2039"/>
    <cellStyle name="Percent 2 4 38" xfId="2040"/>
    <cellStyle name="Percent 2 4 39" xfId="2041"/>
    <cellStyle name="Percent 2 4 4" xfId="2042"/>
    <cellStyle name="Percent 2 4 40" xfId="2043"/>
    <cellStyle name="Percent 2 4 41" xfId="2044"/>
    <cellStyle name="Percent 2 4 42" xfId="2045"/>
    <cellStyle name="Percent 2 4 43" xfId="2046"/>
    <cellStyle name="Percent 2 4 44" xfId="2047"/>
    <cellStyle name="Percent 2 4 45" xfId="2048"/>
    <cellStyle name="Percent 2 4 46" xfId="2049"/>
    <cellStyle name="Percent 2 4 47" xfId="2050"/>
    <cellStyle name="Percent 2 4 48" xfId="2051"/>
    <cellStyle name="Percent 2 4 49" xfId="2052"/>
    <cellStyle name="Percent 2 4 5" xfId="2053"/>
    <cellStyle name="Percent 2 4 50" xfId="2054"/>
    <cellStyle name="Percent 2 4 51" xfId="2055"/>
    <cellStyle name="Percent 2 4 52" xfId="2056"/>
    <cellStyle name="Percent 2 4 53" xfId="2057"/>
    <cellStyle name="Percent 2 4 54" xfId="2058"/>
    <cellStyle name="Percent 2 4 55" xfId="2059"/>
    <cellStyle name="Percent 2 4 56" xfId="2060"/>
    <cellStyle name="Percent 2 4 57" xfId="2061"/>
    <cellStyle name="Percent 2 4 58" xfId="2062"/>
    <cellStyle name="Percent 2 4 59" xfId="2063"/>
    <cellStyle name="Percent 2 4 6" xfId="2064"/>
    <cellStyle name="Percent 2 4 60" xfId="2065"/>
    <cellStyle name="Percent 2 4 61" xfId="2066"/>
    <cellStyle name="Percent 2 4 62" xfId="2067"/>
    <cellStyle name="Percent 2 4 63" xfId="2068"/>
    <cellStyle name="Percent 2 4 64" xfId="2069"/>
    <cellStyle name="Percent 2 4 7" xfId="2070"/>
    <cellStyle name="Percent 2 4 8" xfId="2071"/>
    <cellStyle name="Percent 2 4 9" xfId="2072"/>
    <cellStyle name="Percent 3" xfId="2073"/>
    <cellStyle name="Percent 3 2" xfId="2074"/>
    <cellStyle name="Percent 3 2 2" xfId="2075"/>
    <cellStyle name="Percent 4" xfId="2076"/>
    <cellStyle name="Percent 4 2" xfId="2077"/>
    <cellStyle name="Percent 4 2 2" xfId="2078"/>
    <cellStyle name="Percent 4 3" xfId="2079"/>
    <cellStyle name="Percent 5" xfId="2080"/>
    <cellStyle name="Percent 6" xfId="2081"/>
    <cellStyle name="Percent 6 2" xfId="2082"/>
    <cellStyle name="Percent 7" xfId="2083"/>
    <cellStyle name="Title 2" xfId="2084"/>
    <cellStyle name="Total 2" xfId="2085"/>
    <cellStyle name="Total 2 10" xfId="2086"/>
    <cellStyle name="Total 2 11" xfId="2087"/>
    <cellStyle name="Total 2 12" xfId="2088"/>
    <cellStyle name="Total 2 13" xfId="2089"/>
    <cellStyle name="Total 2 14" xfId="2090"/>
    <cellStyle name="Total 2 15" xfId="2091"/>
    <cellStyle name="Total 2 16" xfId="2092"/>
    <cellStyle name="Total 2 17" xfId="2093"/>
    <cellStyle name="Total 2 18" xfId="2094"/>
    <cellStyle name="Total 2 19" xfId="2095"/>
    <cellStyle name="Total 2 2" xfId="2096"/>
    <cellStyle name="Total 2 20" xfId="2097"/>
    <cellStyle name="Total 2 21" xfId="2098"/>
    <cellStyle name="Total 2 22" xfId="2099"/>
    <cellStyle name="Total 2 23" xfId="2100"/>
    <cellStyle name="Total 2 24" xfId="2101"/>
    <cellStyle name="Total 2 25" xfId="2102"/>
    <cellStyle name="Total 2 26" xfId="2103"/>
    <cellStyle name="Total 2 27" xfId="2104"/>
    <cellStyle name="Total 2 28" xfId="2105"/>
    <cellStyle name="Total 2 29" xfId="2106"/>
    <cellStyle name="Total 2 3" xfId="2107"/>
    <cellStyle name="Total 2 30" xfId="2108"/>
    <cellStyle name="Total 2 31" xfId="2109"/>
    <cellStyle name="Total 2 32" xfId="2110"/>
    <cellStyle name="Total 2 33" xfId="2111"/>
    <cellStyle name="Total 2 34" xfId="2112"/>
    <cellStyle name="Total 2 35" xfId="2113"/>
    <cellStyle name="Total 2 36" xfId="2114"/>
    <cellStyle name="Total 2 37" xfId="2115"/>
    <cellStyle name="Total 2 38" xfId="2116"/>
    <cellStyle name="Total 2 39" xfId="2117"/>
    <cellStyle name="Total 2 4" xfId="2118"/>
    <cellStyle name="Total 2 40" xfId="2119"/>
    <cellStyle name="Total 2 41" xfId="2120"/>
    <cellStyle name="Total 2 42" xfId="2121"/>
    <cellStyle name="Total 2 43" xfId="2122"/>
    <cellStyle name="Total 2 44" xfId="2123"/>
    <cellStyle name="Total 2 45" xfId="2124"/>
    <cellStyle name="Total 2 46" xfId="2125"/>
    <cellStyle name="Total 2 47" xfId="2126"/>
    <cellStyle name="Total 2 48" xfId="2127"/>
    <cellStyle name="Total 2 49" xfId="2128"/>
    <cellStyle name="Total 2 5" xfId="2129"/>
    <cellStyle name="Total 2 50" xfId="2130"/>
    <cellStyle name="Total 2 51" xfId="2131"/>
    <cellStyle name="Total 2 52" xfId="2132"/>
    <cellStyle name="Total 2 53" xfId="2133"/>
    <cellStyle name="Total 2 54" xfId="2134"/>
    <cellStyle name="Total 2 55" xfId="2135"/>
    <cellStyle name="Total 2 56" xfId="2136"/>
    <cellStyle name="Total 2 57" xfId="2137"/>
    <cellStyle name="Total 2 58" xfId="2138"/>
    <cellStyle name="Total 2 59" xfId="2139"/>
    <cellStyle name="Total 2 6" xfId="2140"/>
    <cellStyle name="Total 2 60" xfId="2141"/>
    <cellStyle name="Total 2 61" xfId="2142"/>
    <cellStyle name="Total 2 62" xfId="2143"/>
    <cellStyle name="Total 2 63" xfId="2144"/>
    <cellStyle name="Total 2 64" xfId="2145"/>
    <cellStyle name="Total 2 7" xfId="2146"/>
    <cellStyle name="Total 2 8" xfId="2147"/>
    <cellStyle name="Total 2 9" xfId="2148"/>
    <cellStyle name="Total 3" xfId="2149"/>
    <cellStyle name="Warning Text 2" xfId="2150"/>
    <cellStyle name="Warning Text 3" xfId="215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239429</xdr:colOff>
      <xdr:row>0</xdr:row>
      <xdr:rowOff>138393</xdr:rowOff>
    </xdr:from>
    <xdr:to>
      <xdr:col>1</xdr:col>
      <xdr:colOff>1092573</xdr:colOff>
      <xdr:row>4</xdr:row>
      <xdr:rowOff>224118</xdr:rowOff>
    </xdr:to>
    <xdr:pic>
      <xdr:nvPicPr>
        <xdr:cNvPr id="2" name="Picture 1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9429" y="138393"/>
          <a:ext cx="1319869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274898</xdr:colOff>
      <xdr:row>1</xdr:row>
      <xdr:rowOff>11454</xdr:rowOff>
    </xdr:from>
    <xdr:to>
      <xdr:col>1</xdr:col>
      <xdr:colOff>1024842</xdr:colOff>
      <xdr:row>5</xdr:row>
      <xdr:rowOff>132476</xdr:rowOff>
    </xdr:to>
    <xdr:pic>
      <xdr:nvPicPr>
        <xdr:cNvPr id="2" name="Picture 16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4898" y="173379"/>
          <a:ext cx="1197619" cy="1149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239429</xdr:colOff>
      <xdr:row>0</xdr:row>
      <xdr:rowOff>138393</xdr:rowOff>
    </xdr:from>
    <xdr:to>
      <xdr:col>1</xdr:col>
      <xdr:colOff>1092573</xdr:colOff>
      <xdr:row>4</xdr:row>
      <xdr:rowOff>224118</xdr:rowOff>
    </xdr:to>
    <xdr:pic>
      <xdr:nvPicPr>
        <xdr:cNvPr id="2" name="Picture 1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9429" y="138393"/>
          <a:ext cx="1319869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274898</xdr:colOff>
      <xdr:row>1</xdr:row>
      <xdr:rowOff>11454</xdr:rowOff>
    </xdr:from>
    <xdr:to>
      <xdr:col>1</xdr:col>
      <xdr:colOff>1024842</xdr:colOff>
      <xdr:row>5</xdr:row>
      <xdr:rowOff>132476</xdr:rowOff>
    </xdr:to>
    <xdr:pic>
      <xdr:nvPicPr>
        <xdr:cNvPr id="2" name="Picture 16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4898" y="173379"/>
          <a:ext cx="1197619" cy="1149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239429</xdr:colOff>
      <xdr:row>0</xdr:row>
      <xdr:rowOff>138393</xdr:rowOff>
    </xdr:from>
    <xdr:to>
      <xdr:col>1</xdr:col>
      <xdr:colOff>1092573</xdr:colOff>
      <xdr:row>4</xdr:row>
      <xdr:rowOff>224118</xdr:rowOff>
    </xdr:to>
    <xdr:pic>
      <xdr:nvPicPr>
        <xdr:cNvPr id="2" name="Picture 1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9429" y="138393"/>
          <a:ext cx="1319869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274898</xdr:colOff>
      <xdr:row>1</xdr:row>
      <xdr:rowOff>11454</xdr:rowOff>
    </xdr:from>
    <xdr:to>
      <xdr:col>1</xdr:col>
      <xdr:colOff>1024842</xdr:colOff>
      <xdr:row>5</xdr:row>
      <xdr:rowOff>132476</xdr:rowOff>
    </xdr:to>
    <xdr:pic>
      <xdr:nvPicPr>
        <xdr:cNvPr id="2" name="Picture 16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4898" y="173379"/>
          <a:ext cx="1197619" cy="1149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239429</xdr:colOff>
      <xdr:row>0</xdr:row>
      <xdr:rowOff>138393</xdr:rowOff>
    </xdr:from>
    <xdr:to>
      <xdr:col>1</xdr:col>
      <xdr:colOff>1092573</xdr:colOff>
      <xdr:row>4</xdr:row>
      <xdr:rowOff>224118</xdr:rowOff>
    </xdr:to>
    <xdr:pic>
      <xdr:nvPicPr>
        <xdr:cNvPr id="2" name="Picture 1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9429" y="138393"/>
          <a:ext cx="1319869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274898</xdr:colOff>
      <xdr:row>1</xdr:row>
      <xdr:rowOff>11454</xdr:rowOff>
    </xdr:from>
    <xdr:to>
      <xdr:col>1</xdr:col>
      <xdr:colOff>1024842</xdr:colOff>
      <xdr:row>5</xdr:row>
      <xdr:rowOff>132476</xdr:rowOff>
    </xdr:to>
    <xdr:pic>
      <xdr:nvPicPr>
        <xdr:cNvPr id="2" name="Picture 16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4898" y="173379"/>
          <a:ext cx="1197619" cy="1149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239429</xdr:colOff>
      <xdr:row>0</xdr:row>
      <xdr:rowOff>138393</xdr:rowOff>
    </xdr:from>
    <xdr:to>
      <xdr:col>1</xdr:col>
      <xdr:colOff>1092573</xdr:colOff>
      <xdr:row>4</xdr:row>
      <xdr:rowOff>224118</xdr:rowOff>
    </xdr:to>
    <xdr:pic>
      <xdr:nvPicPr>
        <xdr:cNvPr id="2" name="Picture 1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9429" y="138393"/>
          <a:ext cx="1319869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274898</xdr:colOff>
      <xdr:row>1</xdr:row>
      <xdr:rowOff>11454</xdr:rowOff>
    </xdr:from>
    <xdr:to>
      <xdr:col>1</xdr:col>
      <xdr:colOff>1024842</xdr:colOff>
      <xdr:row>5</xdr:row>
      <xdr:rowOff>132476</xdr:rowOff>
    </xdr:to>
    <xdr:pic>
      <xdr:nvPicPr>
        <xdr:cNvPr id="2" name="Picture 16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4898" y="173379"/>
          <a:ext cx="1197619" cy="1149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239429</xdr:colOff>
      <xdr:row>0</xdr:row>
      <xdr:rowOff>138393</xdr:rowOff>
    </xdr:from>
    <xdr:to>
      <xdr:col>1</xdr:col>
      <xdr:colOff>1092573</xdr:colOff>
      <xdr:row>4</xdr:row>
      <xdr:rowOff>224118</xdr:rowOff>
    </xdr:to>
    <xdr:pic>
      <xdr:nvPicPr>
        <xdr:cNvPr id="2" name="Picture 1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9429" y="138393"/>
          <a:ext cx="1319869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274898</xdr:colOff>
      <xdr:row>1</xdr:row>
      <xdr:rowOff>11454</xdr:rowOff>
    </xdr:from>
    <xdr:to>
      <xdr:col>1</xdr:col>
      <xdr:colOff>1024842</xdr:colOff>
      <xdr:row>5</xdr:row>
      <xdr:rowOff>132476</xdr:rowOff>
    </xdr:to>
    <xdr:pic>
      <xdr:nvPicPr>
        <xdr:cNvPr id="2" name="Picture 16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4898" y="173379"/>
          <a:ext cx="1197619" cy="1149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274898</xdr:colOff>
      <xdr:row>1</xdr:row>
      <xdr:rowOff>11454</xdr:rowOff>
    </xdr:from>
    <xdr:to>
      <xdr:col>1</xdr:col>
      <xdr:colOff>1024842</xdr:colOff>
      <xdr:row>5</xdr:row>
      <xdr:rowOff>132476</xdr:rowOff>
    </xdr:to>
    <xdr:pic>
      <xdr:nvPicPr>
        <xdr:cNvPr id="2" name="Picture 16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4898" y="173379"/>
          <a:ext cx="1197619" cy="1149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239429</xdr:colOff>
      <xdr:row>0</xdr:row>
      <xdr:rowOff>138393</xdr:rowOff>
    </xdr:from>
    <xdr:to>
      <xdr:col>1</xdr:col>
      <xdr:colOff>1092573</xdr:colOff>
      <xdr:row>4</xdr:row>
      <xdr:rowOff>224118</xdr:rowOff>
    </xdr:to>
    <xdr:pic>
      <xdr:nvPicPr>
        <xdr:cNvPr id="2" name="Picture 1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9429" y="138393"/>
          <a:ext cx="1319869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274898</xdr:colOff>
      <xdr:row>1</xdr:row>
      <xdr:rowOff>11454</xdr:rowOff>
    </xdr:from>
    <xdr:to>
      <xdr:col>1</xdr:col>
      <xdr:colOff>1024842</xdr:colOff>
      <xdr:row>5</xdr:row>
      <xdr:rowOff>132476</xdr:rowOff>
    </xdr:to>
    <xdr:pic>
      <xdr:nvPicPr>
        <xdr:cNvPr id="2" name="Picture 16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4898" y="173379"/>
          <a:ext cx="1197619" cy="1149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239429</xdr:colOff>
      <xdr:row>0</xdr:row>
      <xdr:rowOff>138393</xdr:rowOff>
    </xdr:from>
    <xdr:to>
      <xdr:col>1</xdr:col>
      <xdr:colOff>1092573</xdr:colOff>
      <xdr:row>4</xdr:row>
      <xdr:rowOff>224118</xdr:rowOff>
    </xdr:to>
    <xdr:pic>
      <xdr:nvPicPr>
        <xdr:cNvPr id="2" name="Picture 1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9429" y="138393"/>
          <a:ext cx="1319869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274898</xdr:colOff>
      <xdr:row>1</xdr:row>
      <xdr:rowOff>11454</xdr:rowOff>
    </xdr:from>
    <xdr:to>
      <xdr:col>1</xdr:col>
      <xdr:colOff>1024842</xdr:colOff>
      <xdr:row>5</xdr:row>
      <xdr:rowOff>132476</xdr:rowOff>
    </xdr:to>
    <xdr:pic>
      <xdr:nvPicPr>
        <xdr:cNvPr id="2" name="Picture 16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4898" y="173379"/>
          <a:ext cx="1197619" cy="1149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239429</xdr:colOff>
      <xdr:row>0</xdr:row>
      <xdr:rowOff>138393</xdr:rowOff>
    </xdr:from>
    <xdr:to>
      <xdr:col>1</xdr:col>
      <xdr:colOff>1092573</xdr:colOff>
      <xdr:row>4</xdr:row>
      <xdr:rowOff>224118</xdr:rowOff>
    </xdr:to>
    <xdr:pic>
      <xdr:nvPicPr>
        <xdr:cNvPr id="2" name="Picture 1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9429" y="138393"/>
          <a:ext cx="1319869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274898</xdr:colOff>
      <xdr:row>1</xdr:row>
      <xdr:rowOff>11454</xdr:rowOff>
    </xdr:from>
    <xdr:to>
      <xdr:col>1</xdr:col>
      <xdr:colOff>1024842</xdr:colOff>
      <xdr:row>5</xdr:row>
      <xdr:rowOff>132476</xdr:rowOff>
    </xdr:to>
    <xdr:pic>
      <xdr:nvPicPr>
        <xdr:cNvPr id="2" name="Picture 16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4898" y="173379"/>
          <a:ext cx="1197619" cy="1149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239429</xdr:colOff>
      <xdr:row>0</xdr:row>
      <xdr:rowOff>138393</xdr:rowOff>
    </xdr:from>
    <xdr:to>
      <xdr:col>1</xdr:col>
      <xdr:colOff>1092573</xdr:colOff>
      <xdr:row>4</xdr:row>
      <xdr:rowOff>224118</xdr:rowOff>
    </xdr:to>
    <xdr:pic>
      <xdr:nvPicPr>
        <xdr:cNvPr id="2" name="Picture 1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9429" y="138393"/>
          <a:ext cx="1319869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274898</xdr:colOff>
      <xdr:row>1</xdr:row>
      <xdr:rowOff>11454</xdr:rowOff>
    </xdr:from>
    <xdr:to>
      <xdr:col>1</xdr:col>
      <xdr:colOff>1024842</xdr:colOff>
      <xdr:row>5</xdr:row>
      <xdr:rowOff>132476</xdr:rowOff>
    </xdr:to>
    <xdr:pic>
      <xdr:nvPicPr>
        <xdr:cNvPr id="2" name="Picture 16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4898" y="173379"/>
          <a:ext cx="1197619" cy="1149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239429</xdr:colOff>
      <xdr:row>0</xdr:row>
      <xdr:rowOff>138393</xdr:rowOff>
    </xdr:from>
    <xdr:to>
      <xdr:col>1</xdr:col>
      <xdr:colOff>1092573</xdr:colOff>
      <xdr:row>4</xdr:row>
      <xdr:rowOff>224118</xdr:rowOff>
    </xdr:to>
    <xdr:pic>
      <xdr:nvPicPr>
        <xdr:cNvPr id="2" name="Picture 1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9429" y="138393"/>
          <a:ext cx="1319869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274898</xdr:colOff>
      <xdr:row>1</xdr:row>
      <xdr:rowOff>11454</xdr:rowOff>
    </xdr:from>
    <xdr:to>
      <xdr:col>1</xdr:col>
      <xdr:colOff>1024842</xdr:colOff>
      <xdr:row>5</xdr:row>
      <xdr:rowOff>132476</xdr:rowOff>
    </xdr:to>
    <xdr:pic>
      <xdr:nvPicPr>
        <xdr:cNvPr id="2" name="Picture 16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4898" y="173379"/>
          <a:ext cx="1197619" cy="1149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239429</xdr:colOff>
      <xdr:row>0</xdr:row>
      <xdr:rowOff>138393</xdr:rowOff>
    </xdr:from>
    <xdr:to>
      <xdr:col>1</xdr:col>
      <xdr:colOff>1092573</xdr:colOff>
      <xdr:row>4</xdr:row>
      <xdr:rowOff>224118</xdr:rowOff>
    </xdr:to>
    <xdr:pic>
      <xdr:nvPicPr>
        <xdr:cNvPr id="2" name="Picture 1" descr="KOPI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9429" y="138393"/>
          <a:ext cx="1319869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TDAKO%20BAGIAN%20UMUM/Rek%20Koran%20vs%20STS%20Setdako%20Bagian%20Umum%20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Dinas%20Perdagangan/Rek%20Koran%20vs%20STS%20Dinas%20Perdagangan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nas%20Perdagangan/Rek%20Koran%20vs%20STS%20Dinas%20Perdagangan%202022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U/Rek%20Koran%20vs%20STS%20Dinas%20PU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inas%20Perhubungan/STS%20vs%20Rek%20Koran%20Dishub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inas%20Perikanan/Rek%20Koran%20vs%20STS%20Dinas%20Perikanan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U/Rek%20Koran%20vs%20STS%20Dinas%20PU%202022%20baru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inas%20Kominfo/Rek%20Koran%20vs%20STS%20DINAS%20KOMINFO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Dinas%20Lingkungan%20Hidup/Rek%20Koran%20vs%20STS%20DINAS%20LINGHUP%20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Dinas%20Keatahanan%20Pangan%20dan%20Pertanian/Rek%20Koran%20vs%20STS%20Dinas%20Ketahanan%20Pangan%20dan%20Pertanian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  <sheetName val="JAN"/>
      <sheetName val="FEB"/>
      <sheetName val="MARET"/>
      <sheetName val="APRIL"/>
      <sheetName val="MEI"/>
      <sheetName val="JUNI"/>
      <sheetName val="JULI"/>
      <sheetName val="AGUS"/>
      <sheetName val="SEPT"/>
      <sheetName val="OKT"/>
      <sheetName val="NOV"/>
      <sheetName val="DES"/>
    </sheetNames>
    <sheetDataSet>
      <sheetData sheetId="0">
        <row r="17">
          <cell r="G17">
            <v>0</v>
          </cell>
        </row>
        <row r="52">
          <cell r="G52">
            <v>9000000</v>
          </cell>
        </row>
        <row r="82">
          <cell r="G82">
            <v>1800000</v>
          </cell>
        </row>
        <row r="90">
          <cell r="G90">
            <v>2550000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D12">
            <v>2250000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  <sheetName val="JAN"/>
      <sheetName val="FEB"/>
      <sheetName val="MAR"/>
      <sheetName val="APR"/>
      <sheetName val="MEI"/>
      <sheetName val="JUNI"/>
      <sheetName val="JULI"/>
      <sheetName val="AGS"/>
      <sheetName val="SEPT"/>
      <sheetName val="OKT"/>
      <sheetName val="NOV"/>
      <sheetName val="DES"/>
    </sheetNames>
    <sheetDataSet>
      <sheetData sheetId="0">
        <row r="91">
          <cell r="G91">
            <v>5130000</v>
          </cell>
        </row>
        <row r="95">
          <cell r="G95">
            <v>8000000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  <sheetName val="JAN"/>
      <sheetName val="FEB"/>
      <sheetName val="MAR"/>
      <sheetName val="APR"/>
      <sheetName val="MEI"/>
      <sheetName val="JUNI"/>
      <sheetName val="JULI"/>
      <sheetName val="AGS"/>
      <sheetName val="SEPT"/>
      <sheetName val="OKT"/>
      <sheetName val="NOV"/>
      <sheetName val="DES"/>
    </sheetNames>
    <sheetDataSet>
      <sheetData sheetId="0">
        <row r="30">
          <cell r="G30">
            <v>3696000</v>
          </cell>
        </row>
        <row r="32">
          <cell r="G32">
            <v>3750000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  <sheetName val="JAN"/>
      <sheetName val="FEB"/>
      <sheetName val="MARET"/>
      <sheetName val="APRIL"/>
      <sheetName val="MEI"/>
      <sheetName val="JUNI"/>
      <sheetName val="Sheet1"/>
    </sheetNames>
    <sheetDataSet>
      <sheetData sheetId="0">
        <row r="23">
          <cell r="G23">
            <v>0</v>
          </cell>
        </row>
        <row r="28">
          <cell r="G2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I"/>
      <sheetName val="FEBRUARI"/>
      <sheetName val="MARET"/>
      <sheetName val="APRIL"/>
      <sheetName val="MEI"/>
      <sheetName val="JUNI"/>
      <sheetName val="JULI"/>
      <sheetName val="AGUSTUS"/>
      <sheetName val="SEPT"/>
      <sheetName val="OKT"/>
      <sheetName val="NOV"/>
      <sheetName val="DES"/>
    </sheetNames>
    <sheetDataSet>
      <sheetData sheetId="0"/>
      <sheetData sheetId="1"/>
      <sheetData sheetId="2"/>
      <sheetData sheetId="3">
        <row r="56">
          <cell r="K56">
            <v>0</v>
          </cell>
        </row>
      </sheetData>
      <sheetData sheetId="4"/>
      <sheetData sheetId="5"/>
      <sheetData sheetId="6">
        <row r="74">
          <cell r="Q74">
            <v>2121774000</v>
          </cell>
        </row>
      </sheetData>
      <sheetData sheetId="7"/>
      <sheetData sheetId="8"/>
      <sheetData sheetId="9"/>
      <sheetData sheetId="10">
        <row r="54">
          <cell r="C54">
            <v>41700000</v>
          </cell>
          <cell r="I54">
            <v>17051150</v>
          </cell>
          <cell r="K54">
            <v>14986000</v>
          </cell>
          <cell r="Q54">
            <v>2087904000</v>
          </cell>
          <cell r="S54">
            <v>15324400</v>
          </cell>
          <cell r="U54">
            <v>0</v>
          </cell>
        </row>
      </sheetData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  <sheetName val="JAN"/>
      <sheetName val="FEB"/>
      <sheetName val="MARET"/>
      <sheetName val="APR"/>
      <sheetName val="MEI"/>
      <sheetName val="JUNI"/>
      <sheetName val="JULI"/>
      <sheetName val="AGS"/>
      <sheetName val="SEPT"/>
      <sheetName val="OKT"/>
      <sheetName val="NOV"/>
      <sheetName val="DES"/>
    </sheetNames>
    <sheetDataSet>
      <sheetData sheetId="0">
        <row r="29">
          <cell r="G29">
            <v>1705000</v>
          </cell>
        </row>
        <row r="35">
          <cell r="G35">
            <v>2002000</v>
          </cell>
        </row>
        <row r="41">
          <cell r="G41">
            <v>2000000</v>
          </cell>
        </row>
        <row r="53">
          <cell r="G53">
            <v>1742600</v>
          </cell>
        </row>
        <row r="59">
          <cell r="G59">
            <v>2000000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  <sheetName val="JAN"/>
      <sheetName val="FEB"/>
      <sheetName val="MARET"/>
      <sheetName val="APRIL"/>
      <sheetName val="MEI"/>
      <sheetName val="JUNI"/>
      <sheetName val="JULI"/>
      <sheetName val="AGUSTUS"/>
      <sheetName val="SEPT"/>
      <sheetName val="OKT"/>
      <sheetName val="NOV"/>
      <sheetName val="DES"/>
      <sheetName val="Sheet1"/>
    </sheetNames>
    <sheetDataSet>
      <sheetData sheetId="0">
        <row r="30">
          <cell r="G30">
            <v>613837938.25</v>
          </cell>
        </row>
        <row r="35">
          <cell r="G35">
            <v>731386900.91999996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"/>
      <sheetName val="MEI"/>
      <sheetName val="JUNI"/>
      <sheetName val="JULI"/>
      <sheetName val="AGS"/>
      <sheetName val="SEPT"/>
      <sheetName val="OKT"/>
      <sheetName val="NOV"/>
      <sheetName val="DES"/>
      <sheetName val="Sheet1"/>
      <sheetName val="RK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7">
          <cell r="G37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EI"/>
      <sheetName val="JUNI"/>
      <sheetName val="JULI"/>
      <sheetName val="AGS"/>
      <sheetName val="SEPT"/>
      <sheetName val="OKT"/>
      <sheetName val="NOV"/>
      <sheetName val="DES"/>
      <sheetName val="REKAP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9">
          <cell r="G29">
            <v>52500000</v>
          </cell>
        </row>
        <row r="32">
          <cell r="G32">
            <v>51260000</v>
          </cell>
        </row>
      </sheetData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  <sheetName val="JAN"/>
      <sheetName val="FEB"/>
      <sheetName val="MARET"/>
      <sheetName val="APRL"/>
      <sheetName val="MEI"/>
      <sheetName val="JUNI"/>
      <sheetName val="JULI"/>
      <sheetName val="AGS"/>
      <sheetName val="SEPT"/>
      <sheetName val="OKT"/>
      <sheetName val="NOV"/>
      <sheetName val="DES"/>
    </sheetNames>
    <sheetDataSet>
      <sheetData sheetId="0">
        <row r="40">
          <cell r="G40">
            <v>1200000</v>
          </cell>
        </row>
        <row r="45">
          <cell r="G45">
            <v>1300000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3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4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39997558519241921"/>
  </sheetPr>
  <dimension ref="A1:O478"/>
  <sheetViews>
    <sheetView zoomScale="68" zoomScaleNormal="68" workbookViewId="0">
      <pane ySplit="9" topLeftCell="A10" activePane="bottomLeft" state="frozen"/>
      <selection activeCell="L32" sqref="L32"/>
      <selection pane="bottomLeft" activeCell="M26" sqref="M26"/>
    </sheetView>
  </sheetViews>
  <sheetFormatPr defaultColWidth="9.28515625" defaultRowHeight="18" x14ac:dyDescent="0.25"/>
  <cols>
    <col min="1" max="1" width="7" style="4" customWidth="1"/>
    <col min="2" max="2" width="25.140625" style="4" customWidth="1"/>
    <col min="3" max="3" width="82.7109375" style="4" customWidth="1"/>
    <col min="4" max="6" width="28.42578125" style="175" customWidth="1"/>
    <col min="7" max="7" width="30.7109375" style="175" customWidth="1"/>
    <col min="8" max="8" width="16" style="175" customWidth="1"/>
    <col min="9" max="9" width="56.42578125" style="4" hidden="1" customWidth="1"/>
    <col min="10" max="10" width="30.5703125" style="175" bestFit="1" customWidth="1"/>
    <col min="11" max="11" width="26.5703125" style="4" bestFit="1" customWidth="1"/>
    <col min="12" max="12" width="9.28515625" style="4"/>
    <col min="13" max="13" width="26.28515625" style="4" customWidth="1"/>
    <col min="14" max="16384" width="9.28515625" style="4"/>
  </cols>
  <sheetData>
    <row r="1" spans="1:15" x14ac:dyDescent="0.25">
      <c r="A1" s="1"/>
      <c r="B1" s="1"/>
      <c r="C1" s="2"/>
      <c r="I1" s="3"/>
    </row>
    <row r="2" spans="1:15" ht="25.5" x14ac:dyDescent="0.25">
      <c r="A2" s="1"/>
      <c r="B2" s="444" t="s">
        <v>0</v>
      </c>
      <c r="C2" s="444"/>
      <c r="E2" s="5" t="s">
        <v>486</v>
      </c>
      <c r="I2" s="1"/>
      <c r="K2" s="5"/>
    </row>
    <row r="3" spans="1:15" x14ac:dyDescent="0.25">
      <c r="A3" s="1"/>
      <c r="B3" s="445" t="s">
        <v>480</v>
      </c>
      <c r="C3" s="445"/>
      <c r="E3" s="5" t="s">
        <v>631</v>
      </c>
      <c r="K3" s="5"/>
    </row>
    <row r="4" spans="1:15" x14ac:dyDescent="0.25">
      <c r="A4" s="1"/>
      <c r="B4" s="446" t="s">
        <v>481</v>
      </c>
      <c r="C4" s="446"/>
      <c r="E4" s="6" t="s">
        <v>479</v>
      </c>
      <c r="K4" s="6"/>
    </row>
    <row r="5" spans="1:15" ht="19.5" x14ac:dyDescent="0.25">
      <c r="A5" s="1"/>
      <c r="B5" s="447"/>
      <c r="C5" s="447"/>
      <c r="I5" s="1"/>
    </row>
    <row r="6" spans="1:15" ht="18.75" thickBot="1" x14ac:dyDescent="0.3">
      <c r="A6" s="1"/>
      <c r="B6" s="290"/>
      <c r="C6" s="290"/>
      <c r="D6" s="8"/>
      <c r="E6" s="8"/>
      <c r="F6" s="448"/>
      <c r="G6" s="448"/>
      <c r="H6" s="448"/>
      <c r="I6" s="7"/>
    </row>
    <row r="7" spans="1:15" s="10" customFormat="1" ht="29.25" customHeight="1" x14ac:dyDescent="0.25">
      <c r="A7" s="435" t="s">
        <v>2</v>
      </c>
      <c r="B7" s="437" t="s">
        <v>3</v>
      </c>
      <c r="C7" s="437" t="s">
        <v>4</v>
      </c>
      <c r="D7" s="202" t="s">
        <v>5</v>
      </c>
      <c r="E7" s="441" t="s">
        <v>475</v>
      </c>
      <c r="F7" s="441"/>
      <c r="G7" s="441"/>
      <c r="H7" s="439" t="s">
        <v>6</v>
      </c>
      <c r="I7" s="442" t="s">
        <v>7</v>
      </c>
      <c r="J7" s="9"/>
    </row>
    <row r="8" spans="1:15" s="10" customFormat="1" ht="29.25" customHeight="1" thickBot="1" x14ac:dyDescent="0.3">
      <c r="A8" s="436"/>
      <c r="B8" s="438"/>
      <c r="C8" s="438"/>
      <c r="D8" s="203" t="s">
        <v>632</v>
      </c>
      <c r="E8" s="204" t="s">
        <v>476</v>
      </c>
      <c r="F8" s="204" t="s">
        <v>477</v>
      </c>
      <c r="G8" s="204" t="s">
        <v>478</v>
      </c>
      <c r="H8" s="440"/>
      <c r="I8" s="443"/>
      <c r="J8" s="9"/>
    </row>
    <row r="9" spans="1:15" s="16" customFormat="1" ht="14.65" customHeight="1" x14ac:dyDescent="0.25">
      <c r="A9" s="11">
        <v>1</v>
      </c>
      <c r="B9" s="12">
        <v>2</v>
      </c>
      <c r="C9" s="13">
        <v>3</v>
      </c>
      <c r="D9" s="14">
        <v>4</v>
      </c>
      <c r="E9" s="14">
        <v>5</v>
      </c>
      <c r="F9" s="14">
        <v>6</v>
      </c>
      <c r="G9" s="15" t="s">
        <v>582</v>
      </c>
      <c r="H9" s="235" t="s">
        <v>583</v>
      </c>
      <c r="I9" s="205">
        <v>9</v>
      </c>
      <c r="J9" s="7"/>
    </row>
    <row r="10" spans="1:15" x14ac:dyDescent="0.25">
      <c r="A10" s="17"/>
      <c r="B10" s="18"/>
      <c r="C10" s="19"/>
      <c r="D10" s="20"/>
      <c r="E10" s="20"/>
      <c r="F10" s="20"/>
      <c r="G10" s="20"/>
      <c r="H10" s="21"/>
      <c r="I10" s="206"/>
    </row>
    <row r="11" spans="1:15" s="176" customFormat="1" ht="25.5" customHeight="1" x14ac:dyDescent="0.25">
      <c r="A11" s="169"/>
      <c r="B11" s="167" t="s">
        <v>8</v>
      </c>
      <c r="C11" s="185" t="s">
        <v>9</v>
      </c>
      <c r="D11" s="191">
        <f>SUM(D12+D225+D439)</f>
        <v>1141467482471</v>
      </c>
      <c r="E11" s="191">
        <f>SUM(E12+E225+E439)</f>
        <v>0</v>
      </c>
      <c r="F11" s="191">
        <f>SUM(F12+F225+F439)</f>
        <v>88000958539.350006</v>
      </c>
      <c r="G11" s="191">
        <f>SUM(G12+G225+G439)</f>
        <v>88000958539.350006</v>
      </c>
      <c r="H11" s="236">
        <f>G11/D11</f>
        <v>7.7094582097817888E-2</v>
      </c>
      <c r="I11" s="207"/>
      <c r="J11" s="175"/>
    </row>
    <row r="12" spans="1:15" s="176" customFormat="1" ht="27.75" customHeight="1" x14ac:dyDescent="0.25">
      <c r="A12" s="126" t="s">
        <v>10</v>
      </c>
      <c r="B12" s="127" t="s">
        <v>11</v>
      </c>
      <c r="C12" s="41" t="s">
        <v>12</v>
      </c>
      <c r="D12" s="42">
        <f>SUM(D13+D14+D96+D102)</f>
        <v>392981073390</v>
      </c>
      <c r="E12" s="42"/>
      <c r="F12" s="42">
        <f>SUM(F13+F14+F96+F102)</f>
        <v>16803871439.349998</v>
      </c>
      <c r="G12" s="42">
        <f>SUM(G13+G14+G96+G102)</f>
        <v>16803871439.349998</v>
      </c>
      <c r="H12" s="237">
        <f>G12/D12</f>
        <v>4.2760001886079632E-2</v>
      </c>
      <c r="I12" s="208"/>
      <c r="J12" s="175"/>
    </row>
    <row r="13" spans="1:15" s="176" customFormat="1" ht="25.5" customHeight="1" x14ac:dyDescent="0.25">
      <c r="A13" s="169" t="s">
        <v>13</v>
      </c>
      <c r="B13" s="167" t="s">
        <v>14</v>
      </c>
      <c r="C13" s="185" t="s">
        <v>15</v>
      </c>
      <c r="D13" s="191">
        <f>SUM(D17+D18+D19+D20+D21+D25+D22+D23+D26+D24+D27)</f>
        <v>197002700000</v>
      </c>
      <c r="E13" s="191">
        <f t="shared" ref="E13:G13" si="0">SUM(E17+E18+E19+E20+E21+E25+E22+E23+E26+E24+E27)</f>
        <v>0</v>
      </c>
      <c r="F13" s="191">
        <f t="shared" si="0"/>
        <v>6681967943</v>
      </c>
      <c r="G13" s="191">
        <f t="shared" si="0"/>
        <v>6681967943</v>
      </c>
      <c r="H13" s="236">
        <f>G13/D13</f>
        <v>3.3918154131897686E-2</v>
      </c>
      <c r="I13" s="209"/>
      <c r="J13" s="175"/>
      <c r="K13" s="270"/>
    </row>
    <row r="14" spans="1:15" s="176" customFormat="1" ht="25.5" customHeight="1" x14ac:dyDescent="0.25">
      <c r="A14" s="169" t="s">
        <v>16</v>
      </c>
      <c r="B14" s="167" t="s">
        <v>17</v>
      </c>
      <c r="C14" s="185" t="s">
        <v>18</v>
      </c>
      <c r="D14" s="191">
        <f>SUM(D29+D47+D52+D58+D63+D70+D74+D79+D91+D87+D40)</f>
        <v>47985440000</v>
      </c>
      <c r="E14" s="191">
        <f t="shared" ref="E14:G14" si="1">SUM(E29+E47+E52+E58+E63+E70+E74+E79+E91+E87+E40)</f>
        <v>0</v>
      </c>
      <c r="F14" s="191">
        <f t="shared" si="1"/>
        <v>1843589550</v>
      </c>
      <c r="G14" s="191">
        <f t="shared" si="1"/>
        <v>1843589550</v>
      </c>
      <c r="H14" s="236">
        <f>G14/D14</f>
        <v>3.8419769621785275E-2</v>
      </c>
      <c r="I14" s="209"/>
      <c r="J14" s="280"/>
      <c r="K14" s="281"/>
      <c r="L14" s="282"/>
      <c r="M14" s="282"/>
      <c r="N14" s="282"/>
      <c r="O14" s="282"/>
    </row>
    <row r="15" spans="1:15" s="176" customFormat="1" x14ac:dyDescent="0.25">
      <c r="A15" s="169"/>
      <c r="B15" s="22"/>
      <c r="C15" s="185"/>
      <c r="D15" s="191"/>
      <c r="E15" s="191"/>
      <c r="F15" s="191"/>
      <c r="G15" s="191"/>
      <c r="H15" s="236"/>
      <c r="I15" s="209"/>
      <c r="J15" s="280"/>
      <c r="K15" s="282"/>
      <c r="L15" s="282"/>
      <c r="M15" s="282"/>
      <c r="N15" s="282"/>
      <c r="O15" s="282"/>
    </row>
    <row r="16" spans="1:15" s="187" customFormat="1" ht="22.5" customHeight="1" x14ac:dyDescent="0.25">
      <c r="A16" s="23" t="s">
        <v>19</v>
      </c>
      <c r="B16" s="46" t="s">
        <v>281</v>
      </c>
      <c r="C16" s="185" t="s">
        <v>1</v>
      </c>
      <c r="D16" s="196">
        <f>SUM(D17:D27)</f>
        <v>197002700000</v>
      </c>
      <c r="E16" s="196"/>
      <c r="F16" s="196">
        <f>SUM(F17:F27)</f>
        <v>6681967943</v>
      </c>
      <c r="G16" s="191">
        <f>SUM(G17:G27)</f>
        <v>6681967943</v>
      </c>
      <c r="H16" s="236">
        <f t="shared" ref="H16:H27" si="2">G16/D16</f>
        <v>3.3918154131897686E-2</v>
      </c>
      <c r="I16" s="210"/>
      <c r="J16" s="297"/>
      <c r="K16" s="298"/>
      <c r="L16" s="279"/>
      <c r="M16" s="279"/>
      <c r="N16" s="279"/>
      <c r="O16" s="279"/>
    </row>
    <row r="17" spans="1:15" s="176" customFormat="1" ht="18.75" customHeight="1" x14ac:dyDescent="0.25">
      <c r="A17" s="188"/>
      <c r="B17" s="177" t="s">
        <v>269</v>
      </c>
      <c r="C17" s="183" t="s">
        <v>20</v>
      </c>
      <c r="D17" s="192">
        <v>6000000000</v>
      </c>
      <c r="E17" s="192"/>
      <c r="F17" s="192">
        <v>405830505</v>
      </c>
      <c r="G17" s="192">
        <f>E17+F17</f>
        <v>405830505</v>
      </c>
      <c r="H17" s="24">
        <f t="shared" si="2"/>
        <v>6.7638417500000006E-2</v>
      </c>
      <c r="I17" s="211" t="s">
        <v>21</v>
      </c>
      <c r="J17" s="294"/>
      <c r="K17" s="296"/>
      <c r="L17" s="282"/>
      <c r="M17" s="282"/>
      <c r="N17" s="282"/>
      <c r="O17" s="282"/>
    </row>
    <row r="18" spans="1:15" s="176" customFormat="1" ht="18.75" customHeight="1" x14ac:dyDescent="0.25">
      <c r="A18" s="188"/>
      <c r="B18" s="177" t="s">
        <v>270</v>
      </c>
      <c r="C18" s="183" t="s">
        <v>22</v>
      </c>
      <c r="D18" s="192">
        <v>9500000000</v>
      </c>
      <c r="E18" s="192"/>
      <c r="F18" s="192">
        <v>816530000</v>
      </c>
      <c r="G18" s="192">
        <f t="shared" ref="G18:G27" si="3">E18+F18</f>
        <v>816530000</v>
      </c>
      <c r="H18" s="24">
        <f t="shared" si="2"/>
        <v>8.5950526315789477E-2</v>
      </c>
      <c r="I18" s="212" t="s">
        <v>23</v>
      </c>
      <c r="J18" s="294"/>
      <c r="K18" s="296"/>
      <c r="L18" s="282"/>
      <c r="M18" s="282" t="s">
        <v>629</v>
      </c>
      <c r="N18" s="282"/>
      <c r="O18" s="282"/>
    </row>
    <row r="19" spans="1:15" s="176" customFormat="1" ht="18.75" customHeight="1" x14ac:dyDescent="0.25">
      <c r="A19" s="188"/>
      <c r="B19" s="177" t="s">
        <v>271</v>
      </c>
      <c r="C19" s="183" t="s">
        <v>24</v>
      </c>
      <c r="D19" s="192">
        <v>1500000000</v>
      </c>
      <c r="E19" s="192"/>
      <c r="F19" s="192">
        <v>155875751</v>
      </c>
      <c r="G19" s="192">
        <f t="shared" si="3"/>
        <v>155875751</v>
      </c>
      <c r="H19" s="24">
        <f t="shared" si="2"/>
        <v>0.10391716733333334</v>
      </c>
      <c r="I19" s="211" t="s">
        <v>25</v>
      </c>
      <c r="J19" s="294"/>
      <c r="K19" s="296"/>
      <c r="L19" s="282"/>
      <c r="M19" s="282"/>
      <c r="N19" s="282"/>
      <c r="O19" s="282"/>
    </row>
    <row r="20" spans="1:15" s="176" customFormat="1" ht="18.75" customHeight="1" x14ac:dyDescent="0.25">
      <c r="A20" s="188"/>
      <c r="B20" s="177" t="s">
        <v>272</v>
      </c>
      <c r="C20" s="183" t="s">
        <v>26</v>
      </c>
      <c r="D20" s="192">
        <v>3500000000</v>
      </c>
      <c r="E20" s="192"/>
      <c r="F20" s="192">
        <v>199533009</v>
      </c>
      <c r="G20" s="192">
        <f t="shared" si="3"/>
        <v>199533009</v>
      </c>
      <c r="H20" s="24">
        <f t="shared" si="2"/>
        <v>5.7009431142857142E-2</v>
      </c>
      <c r="I20" s="211" t="s">
        <v>27</v>
      </c>
      <c r="J20" s="294"/>
      <c r="K20" s="296"/>
      <c r="L20" s="282"/>
      <c r="M20" s="282"/>
      <c r="N20" s="282"/>
      <c r="O20" s="282"/>
    </row>
    <row r="21" spans="1:15" s="176" customFormat="1" ht="18.75" customHeight="1" x14ac:dyDescent="0.25">
      <c r="A21" s="188"/>
      <c r="B21" s="177" t="s">
        <v>676</v>
      </c>
      <c r="C21" s="183" t="s">
        <v>677</v>
      </c>
      <c r="D21" s="192">
        <v>51000000000</v>
      </c>
      <c r="E21" s="192"/>
      <c r="F21" s="192">
        <v>4848434872</v>
      </c>
      <c r="G21" s="192">
        <f t="shared" si="3"/>
        <v>4848434872</v>
      </c>
      <c r="H21" s="24">
        <f t="shared" si="2"/>
        <v>9.5067350431372544E-2</v>
      </c>
      <c r="I21" s="211" t="s">
        <v>28</v>
      </c>
      <c r="J21" s="294"/>
      <c r="K21" s="296"/>
      <c r="L21" s="282"/>
      <c r="M21" s="282"/>
      <c r="N21" s="282"/>
      <c r="O21" s="282"/>
    </row>
    <row r="22" spans="1:15" s="176" customFormat="1" ht="18.75" customHeight="1" x14ac:dyDescent="0.25">
      <c r="A22" s="188"/>
      <c r="B22" s="177" t="s">
        <v>273</v>
      </c>
      <c r="C22" s="183" t="s">
        <v>31</v>
      </c>
      <c r="D22" s="192">
        <v>1800000000</v>
      </c>
      <c r="E22" s="192"/>
      <c r="F22" s="192">
        <v>71311200</v>
      </c>
      <c r="G22" s="192">
        <f t="shared" si="3"/>
        <v>71311200</v>
      </c>
      <c r="H22" s="24">
        <f t="shared" si="2"/>
        <v>3.9617333333333331E-2</v>
      </c>
      <c r="I22" s="213" t="s">
        <v>32</v>
      </c>
      <c r="J22" s="294"/>
      <c r="K22" s="296"/>
      <c r="L22" s="282"/>
      <c r="M22" s="282"/>
      <c r="N22" s="282"/>
      <c r="O22" s="282"/>
    </row>
    <row r="23" spans="1:15" s="176" customFormat="1" ht="18.75" customHeight="1" x14ac:dyDescent="0.25">
      <c r="A23" s="188"/>
      <c r="B23" s="177" t="s">
        <v>274</v>
      </c>
      <c r="C23" s="183" t="s">
        <v>33</v>
      </c>
      <c r="D23" s="192">
        <v>1430800000</v>
      </c>
      <c r="E23" s="192"/>
      <c r="F23" s="192">
        <v>48703235</v>
      </c>
      <c r="G23" s="192">
        <f t="shared" si="3"/>
        <v>48703235</v>
      </c>
      <c r="H23" s="24">
        <f t="shared" si="2"/>
        <v>3.4039163405088065E-2</v>
      </c>
      <c r="I23" s="213" t="s">
        <v>34</v>
      </c>
      <c r="J23" s="294"/>
      <c r="K23" s="296"/>
      <c r="L23" s="282"/>
      <c r="M23" s="282"/>
      <c r="N23" s="282"/>
      <c r="O23" s="282"/>
    </row>
    <row r="24" spans="1:15" s="176" customFormat="1" ht="18.75" customHeight="1" x14ac:dyDescent="0.25">
      <c r="A24" s="188"/>
      <c r="B24" s="177" t="s">
        <v>275</v>
      </c>
      <c r="C24" s="183" t="s">
        <v>35</v>
      </c>
      <c r="D24" s="192">
        <v>115200000</v>
      </c>
      <c r="E24" s="192"/>
      <c r="F24" s="192">
        <v>21402800</v>
      </c>
      <c r="G24" s="192">
        <f t="shared" si="3"/>
        <v>21402800</v>
      </c>
      <c r="H24" s="24">
        <f t="shared" si="2"/>
        <v>0.18578819444444444</v>
      </c>
      <c r="I24" s="213" t="s">
        <v>36</v>
      </c>
      <c r="J24" s="294"/>
      <c r="K24" s="296"/>
      <c r="L24" s="282"/>
      <c r="M24" s="282"/>
      <c r="N24" s="282"/>
      <c r="O24" s="282"/>
    </row>
    <row r="25" spans="1:15" s="176" customFormat="1" ht="18.75" customHeight="1" x14ac:dyDescent="0.25">
      <c r="A25" s="188"/>
      <c r="B25" s="177" t="s">
        <v>276</v>
      </c>
      <c r="C25" s="183" t="s">
        <v>29</v>
      </c>
      <c r="D25" s="192">
        <v>1606700000</v>
      </c>
      <c r="E25" s="192"/>
      <c r="F25" s="192"/>
      <c r="G25" s="192">
        <f t="shared" si="3"/>
        <v>0</v>
      </c>
      <c r="H25" s="24">
        <f t="shared" si="2"/>
        <v>0</v>
      </c>
      <c r="I25" s="214" t="s">
        <v>30</v>
      </c>
      <c r="J25" s="294"/>
      <c r="K25" s="296"/>
      <c r="L25" s="295"/>
      <c r="M25" s="295"/>
      <c r="N25" s="282"/>
      <c r="O25" s="282"/>
    </row>
    <row r="26" spans="1:15" s="176" customFormat="1" ht="18.75" customHeight="1" x14ac:dyDescent="0.25">
      <c r="A26" s="188"/>
      <c r="B26" s="177" t="s">
        <v>277</v>
      </c>
      <c r="C26" s="171" t="s">
        <v>278</v>
      </c>
      <c r="D26" s="178">
        <v>101000000000</v>
      </c>
      <c r="E26" s="178"/>
      <c r="F26" s="178">
        <v>32331821</v>
      </c>
      <c r="G26" s="192">
        <f t="shared" si="3"/>
        <v>32331821</v>
      </c>
      <c r="H26" s="24">
        <f t="shared" si="2"/>
        <v>3.2011703960396038E-4</v>
      </c>
      <c r="I26" s="213" t="s">
        <v>37</v>
      </c>
      <c r="J26" s="294"/>
      <c r="K26" s="296"/>
      <c r="L26" s="295"/>
      <c r="M26" s="295"/>
    </row>
    <row r="27" spans="1:15" s="176" customFormat="1" x14ac:dyDescent="0.25">
      <c r="A27" s="188"/>
      <c r="B27" s="177" t="s">
        <v>279</v>
      </c>
      <c r="C27" s="183" t="s">
        <v>38</v>
      </c>
      <c r="D27" s="178">
        <v>19550000000</v>
      </c>
      <c r="E27" s="178"/>
      <c r="F27" s="178">
        <v>82014750</v>
      </c>
      <c r="G27" s="192">
        <f t="shared" si="3"/>
        <v>82014750</v>
      </c>
      <c r="H27" s="24">
        <f t="shared" si="2"/>
        <v>4.1951278772378517E-3</v>
      </c>
      <c r="I27" s="215" t="s">
        <v>474</v>
      </c>
      <c r="J27" s="294"/>
      <c r="K27" s="296"/>
      <c r="L27" s="295"/>
      <c r="M27" s="295"/>
    </row>
    <row r="28" spans="1:15" s="176" customFormat="1" x14ac:dyDescent="0.25">
      <c r="A28" s="169"/>
      <c r="B28" s="22"/>
      <c r="C28" s="25"/>
      <c r="D28" s="191"/>
      <c r="E28" s="191"/>
      <c r="F28" s="191"/>
      <c r="G28" s="191"/>
      <c r="H28" s="236"/>
      <c r="I28" s="216"/>
      <c r="J28" s="294"/>
      <c r="K28" s="295"/>
    </row>
    <row r="29" spans="1:15" s="187" customFormat="1" x14ac:dyDescent="0.25">
      <c r="A29" s="26" t="s">
        <v>39</v>
      </c>
      <c r="B29" s="22" t="s">
        <v>282</v>
      </c>
      <c r="C29" s="185" t="s">
        <v>40</v>
      </c>
      <c r="D29" s="196">
        <f>D30</f>
        <v>1000000000</v>
      </c>
      <c r="E29" s="196"/>
      <c r="F29" s="196">
        <f t="shared" ref="F29:G29" si="4">F30</f>
        <v>35467000</v>
      </c>
      <c r="G29" s="196">
        <f t="shared" si="4"/>
        <v>35467000</v>
      </c>
      <c r="H29" s="236">
        <f t="shared" ref="H29:H35" si="5">G29/D29</f>
        <v>3.5466999999999999E-2</v>
      </c>
      <c r="I29" s="216"/>
      <c r="J29" s="297"/>
      <c r="K29" s="298"/>
    </row>
    <row r="30" spans="1:15" s="187" customFormat="1" x14ac:dyDescent="0.25">
      <c r="A30" s="26" t="s">
        <v>413</v>
      </c>
      <c r="B30" s="170" t="s">
        <v>288</v>
      </c>
      <c r="C30" s="185" t="s">
        <v>55</v>
      </c>
      <c r="D30" s="196">
        <f>D31+D37</f>
        <v>1000000000</v>
      </c>
      <c r="E30" s="196"/>
      <c r="F30" s="196">
        <f>F31+F37</f>
        <v>35467000</v>
      </c>
      <c r="G30" s="196">
        <f t="shared" ref="G30" si="6">G31+G37</f>
        <v>35467000</v>
      </c>
      <c r="H30" s="236">
        <f t="shared" si="5"/>
        <v>3.5466999999999999E-2</v>
      </c>
      <c r="I30" s="216"/>
      <c r="J30" s="297"/>
      <c r="K30" s="298"/>
    </row>
    <row r="31" spans="1:15" s="176" customFormat="1" x14ac:dyDescent="0.25">
      <c r="A31" s="188"/>
      <c r="B31" s="179" t="s">
        <v>488</v>
      </c>
      <c r="C31" s="185" t="s">
        <v>280</v>
      </c>
      <c r="D31" s="191">
        <f>SUM(D32:D35)</f>
        <v>750000000</v>
      </c>
      <c r="E31" s="191"/>
      <c r="F31" s="191">
        <f t="shared" ref="F31" si="7">SUM(F32:F35)</f>
        <v>29617000</v>
      </c>
      <c r="G31" s="191">
        <f>SUM(G32:G35)</f>
        <v>29617000</v>
      </c>
      <c r="H31" s="236">
        <f t="shared" si="5"/>
        <v>3.9489333333333335E-2</v>
      </c>
      <c r="I31" s="207" t="s">
        <v>41</v>
      </c>
      <c r="J31" s="294"/>
      <c r="K31" s="295"/>
    </row>
    <row r="32" spans="1:15" s="176" customFormat="1" x14ac:dyDescent="0.25">
      <c r="A32" s="188"/>
      <c r="B32" s="177" t="s">
        <v>489</v>
      </c>
      <c r="C32" s="183" t="s">
        <v>42</v>
      </c>
      <c r="D32" s="192">
        <v>220000000</v>
      </c>
      <c r="E32" s="192"/>
      <c r="F32" s="192">
        <f>5127000+350000</f>
        <v>5477000</v>
      </c>
      <c r="G32" s="192">
        <f>E32+F32</f>
        <v>5477000</v>
      </c>
      <c r="H32" s="24">
        <f t="shared" si="5"/>
        <v>2.4895454545454547E-2</v>
      </c>
      <c r="I32" s="207"/>
      <c r="J32" s="294"/>
      <c r="K32" s="295"/>
    </row>
    <row r="33" spans="1:10" s="176" customFormat="1" x14ac:dyDescent="0.25">
      <c r="A33" s="188"/>
      <c r="B33" s="177" t="s">
        <v>490</v>
      </c>
      <c r="C33" s="183" t="s">
        <v>43</v>
      </c>
      <c r="D33" s="192">
        <v>494000000</v>
      </c>
      <c r="E33" s="192"/>
      <c r="F33" s="192">
        <v>20390000</v>
      </c>
      <c r="G33" s="192">
        <f t="shared" ref="G33:G35" si="8">E33+F33</f>
        <v>20390000</v>
      </c>
      <c r="H33" s="24">
        <f t="shared" si="5"/>
        <v>4.1275303643724698E-2</v>
      </c>
      <c r="I33" s="207"/>
      <c r="J33" s="175"/>
    </row>
    <row r="34" spans="1:10" s="176" customFormat="1" x14ac:dyDescent="0.25">
      <c r="A34" s="188"/>
      <c r="B34" s="177" t="s">
        <v>491</v>
      </c>
      <c r="C34" s="183" t="s">
        <v>44</v>
      </c>
      <c r="D34" s="192">
        <v>36000000</v>
      </c>
      <c r="E34" s="192"/>
      <c r="F34" s="192">
        <v>3750000</v>
      </c>
      <c r="G34" s="192">
        <f t="shared" si="8"/>
        <v>3750000</v>
      </c>
      <c r="H34" s="24">
        <f t="shared" si="5"/>
        <v>0.10416666666666667</v>
      </c>
      <c r="I34" s="207"/>
      <c r="J34" s="175"/>
    </row>
    <row r="35" spans="1:10" s="176" customFormat="1" hidden="1" x14ac:dyDescent="0.25">
      <c r="A35" s="188"/>
      <c r="B35" s="177"/>
      <c r="C35" s="183" t="s">
        <v>45</v>
      </c>
      <c r="D35" s="192"/>
      <c r="E35" s="192"/>
      <c r="F35" s="192"/>
      <c r="G35" s="192">
        <f t="shared" si="8"/>
        <v>0</v>
      </c>
      <c r="H35" s="24" t="e">
        <f t="shared" si="5"/>
        <v>#DIV/0!</v>
      </c>
      <c r="I35" s="207"/>
      <c r="J35" s="175"/>
    </row>
    <row r="36" spans="1:10" s="176" customFormat="1" ht="15" customHeight="1" x14ac:dyDescent="0.25">
      <c r="A36" s="188"/>
      <c r="B36" s="177"/>
      <c r="C36" s="166"/>
      <c r="D36" s="192"/>
      <c r="E36" s="192"/>
      <c r="F36" s="192"/>
      <c r="G36" s="192"/>
      <c r="H36" s="24"/>
      <c r="I36" s="207"/>
      <c r="J36" s="175"/>
    </row>
    <row r="37" spans="1:10" s="187" customFormat="1" x14ac:dyDescent="0.25">
      <c r="A37" s="26" t="s">
        <v>414</v>
      </c>
      <c r="B37" s="170" t="s">
        <v>492</v>
      </c>
      <c r="C37" s="185" t="s">
        <v>494</v>
      </c>
      <c r="D37" s="196">
        <f>D38</f>
        <v>250000000</v>
      </c>
      <c r="E37" s="196">
        <f t="shared" ref="E37:G37" si="9">E38</f>
        <v>0</v>
      </c>
      <c r="F37" s="196">
        <f t="shared" si="9"/>
        <v>5850000</v>
      </c>
      <c r="G37" s="196">
        <f t="shared" si="9"/>
        <v>5850000</v>
      </c>
      <c r="H37" s="236">
        <f>G37/D37</f>
        <v>2.3400000000000001E-2</v>
      </c>
      <c r="I37" s="216"/>
      <c r="J37" s="186"/>
    </row>
    <row r="38" spans="1:10" s="176" customFormat="1" x14ac:dyDescent="0.25">
      <c r="A38" s="188"/>
      <c r="B38" s="177" t="s">
        <v>493</v>
      </c>
      <c r="C38" s="183" t="s">
        <v>495</v>
      </c>
      <c r="D38" s="192">
        <v>250000000</v>
      </c>
      <c r="E38" s="192"/>
      <c r="F38" s="192">
        <v>5850000</v>
      </c>
      <c r="G38" s="181">
        <f>E38+F38</f>
        <v>5850000</v>
      </c>
      <c r="H38" s="24">
        <f>G38/D38</f>
        <v>2.3400000000000001E-2</v>
      </c>
      <c r="I38" s="207" t="s">
        <v>41</v>
      </c>
      <c r="J38" s="175"/>
    </row>
    <row r="39" spans="1:10" s="176" customFormat="1" ht="15" customHeight="1" x14ac:dyDescent="0.25">
      <c r="A39" s="188"/>
      <c r="B39" s="177"/>
      <c r="C39" s="166"/>
      <c r="D39" s="192"/>
      <c r="E39" s="192"/>
      <c r="F39" s="192"/>
      <c r="G39" s="192"/>
      <c r="H39" s="24"/>
      <c r="I39" s="207"/>
      <c r="J39" s="175"/>
    </row>
    <row r="40" spans="1:10" s="176" customFormat="1" x14ac:dyDescent="0.25">
      <c r="A40" s="168" t="s">
        <v>46</v>
      </c>
      <c r="B40" s="22" t="s">
        <v>592</v>
      </c>
      <c r="C40" s="185" t="s">
        <v>594</v>
      </c>
      <c r="D40" s="196">
        <f>SUM(D41)</f>
        <v>135000000</v>
      </c>
      <c r="E40" s="196"/>
      <c r="F40" s="196">
        <f t="shared" ref="F40:G40" si="10">SUM(F41)</f>
        <v>4400000</v>
      </c>
      <c r="G40" s="196">
        <f t="shared" si="10"/>
        <v>4400000</v>
      </c>
      <c r="H40" s="236">
        <f t="shared" ref="H40:H45" si="11">G40/D40</f>
        <v>3.259259259259259E-2</v>
      </c>
      <c r="I40" s="207"/>
      <c r="J40" s="175"/>
    </row>
    <row r="41" spans="1:10" s="176" customFormat="1" x14ac:dyDescent="0.25">
      <c r="A41" s="188"/>
      <c r="B41" s="170" t="s">
        <v>285</v>
      </c>
      <c r="C41" s="185" t="s">
        <v>444</v>
      </c>
      <c r="D41" s="191">
        <f>D42</f>
        <v>135000000</v>
      </c>
      <c r="E41" s="191"/>
      <c r="F41" s="191">
        <f t="shared" ref="F41:G41" si="12">F42</f>
        <v>4400000</v>
      </c>
      <c r="G41" s="191">
        <f t="shared" si="12"/>
        <v>4400000</v>
      </c>
      <c r="H41" s="236">
        <f t="shared" si="11"/>
        <v>3.259259259259259E-2</v>
      </c>
      <c r="I41" s="207"/>
      <c r="J41" s="175"/>
    </row>
    <row r="42" spans="1:10" s="187" customFormat="1" x14ac:dyDescent="0.25">
      <c r="A42" s="169"/>
      <c r="B42" s="170" t="s">
        <v>284</v>
      </c>
      <c r="C42" s="185" t="s">
        <v>595</v>
      </c>
      <c r="D42" s="191">
        <f>SUM(D43)</f>
        <v>135000000</v>
      </c>
      <c r="E42" s="191"/>
      <c r="F42" s="191">
        <f t="shared" ref="F42:G42" si="13">SUM(F43)</f>
        <v>4400000</v>
      </c>
      <c r="G42" s="191">
        <f t="shared" si="13"/>
        <v>4400000</v>
      </c>
      <c r="H42" s="236">
        <f t="shared" si="11"/>
        <v>3.259259259259259E-2</v>
      </c>
      <c r="I42" s="216"/>
      <c r="J42" s="186"/>
    </row>
    <row r="43" spans="1:10" s="176" customFormat="1" x14ac:dyDescent="0.25">
      <c r="A43" s="188"/>
      <c r="B43" s="170" t="s">
        <v>593</v>
      </c>
      <c r="C43" s="185" t="s">
        <v>595</v>
      </c>
      <c r="D43" s="191">
        <f>SUM(D44:D45)</f>
        <v>135000000</v>
      </c>
      <c r="E43" s="191"/>
      <c r="F43" s="191">
        <f t="shared" ref="F43:G43" si="14">SUM(F44:F45)</f>
        <v>4400000</v>
      </c>
      <c r="G43" s="191">
        <f t="shared" si="14"/>
        <v>4400000</v>
      </c>
      <c r="H43" s="236">
        <f t="shared" si="11"/>
        <v>3.259259259259259E-2</v>
      </c>
      <c r="I43" s="207" t="s">
        <v>47</v>
      </c>
      <c r="J43" s="175"/>
    </row>
    <row r="44" spans="1:10" s="176" customFormat="1" x14ac:dyDescent="0.25">
      <c r="A44" s="188"/>
      <c r="B44" s="178"/>
      <c r="C44" s="193" t="s">
        <v>316</v>
      </c>
      <c r="D44" s="192">
        <v>5000000</v>
      </c>
      <c r="E44" s="192"/>
      <c r="F44" s="192">
        <v>0</v>
      </c>
      <c r="G44" s="192">
        <f>E44+F44</f>
        <v>0</v>
      </c>
      <c r="H44" s="24">
        <f t="shared" si="11"/>
        <v>0</v>
      </c>
      <c r="I44" s="207"/>
      <c r="J44" s="175"/>
    </row>
    <row r="45" spans="1:10" s="176" customFormat="1" x14ac:dyDescent="0.25">
      <c r="A45" s="188"/>
      <c r="B45" s="178"/>
      <c r="C45" s="193" t="s">
        <v>317</v>
      </c>
      <c r="D45" s="192">
        <v>130000000</v>
      </c>
      <c r="E45" s="192"/>
      <c r="F45" s="192">
        <v>4400000</v>
      </c>
      <c r="G45" s="192">
        <f>E45+F45</f>
        <v>4400000</v>
      </c>
      <c r="H45" s="24">
        <f t="shared" si="11"/>
        <v>3.3846153846153845E-2</v>
      </c>
      <c r="I45" s="207"/>
      <c r="J45" s="175"/>
    </row>
    <row r="46" spans="1:10" s="176" customFormat="1" ht="15" customHeight="1" x14ac:dyDescent="0.25">
      <c r="A46" s="188"/>
      <c r="B46" s="177"/>
      <c r="C46" s="166"/>
      <c r="D46" s="192"/>
      <c r="E46" s="192"/>
      <c r="F46" s="192"/>
      <c r="G46" s="192"/>
      <c r="H46" s="24"/>
      <c r="I46" s="207"/>
      <c r="J46" s="175"/>
    </row>
    <row r="47" spans="1:10" s="176" customFormat="1" x14ac:dyDescent="0.25">
      <c r="A47" s="168" t="s">
        <v>8</v>
      </c>
      <c r="B47" s="22" t="s">
        <v>283</v>
      </c>
      <c r="C47" s="185" t="s">
        <v>48</v>
      </c>
      <c r="D47" s="196">
        <f>SUM(D48)</f>
        <v>50000000</v>
      </c>
      <c r="E47" s="196"/>
      <c r="F47" s="196">
        <f t="shared" ref="F47:G47" si="15">SUM(F48)</f>
        <v>2400000</v>
      </c>
      <c r="G47" s="196">
        <f t="shared" si="15"/>
        <v>2400000</v>
      </c>
      <c r="H47" s="236">
        <f>G47/D47</f>
        <v>4.8000000000000001E-2</v>
      </c>
      <c r="I47" s="207"/>
      <c r="J47" s="175"/>
    </row>
    <row r="48" spans="1:10" s="176" customFormat="1" x14ac:dyDescent="0.25">
      <c r="A48" s="188"/>
      <c r="B48" s="170" t="s">
        <v>285</v>
      </c>
      <c r="C48" s="185" t="s">
        <v>444</v>
      </c>
      <c r="D48" s="191">
        <f>D49</f>
        <v>50000000</v>
      </c>
      <c r="E48" s="191"/>
      <c r="F48" s="191">
        <f t="shared" ref="F48:G48" si="16">F49</f>
        <v>2400000</v>
      </c>
      <c r="G48" s="191">
        <f t="shared" si="16"/>
        <v>2400000</v>
      </c>
      <c r="H48" s="236">
        <f>G48/D48</f>
        <v>4.8000000000000001E-2</v>
      </c>
      <c r="I48" s="207"/>
      <c r="J48" s="175"/>
    </row>
    <row r="49" spans="1:11" s="187" customFormat="1" x14ac:dyDescent="0.25">
      <c r="A49" s="169"/>
      <c r="B49" s="170" t="s">
        <v>284</v>
      </c>
      <c r="C49" s="185" t="s">
        <v>286</v>
      </c>
      <c r="D49" s="191">
        <f>SUM(D50)</f>
        <v>50000000</v>
      </c>
      <c r="E49" s="191"/>
      <c r="F49" s="191">
        <f t="shared" ref="F49:G49" si="17">SUM(F50)</f>
        <v>2400000</v>
      </c>
      <c r="G49" s="191">
        <f t="shared" si="17"/>
        <v>2400000</v>
      </c>
      <c r="H49" s="236">
        <f>G49/D49</f>
        <v>4.8000000000000001E-2</v>
      </c>
      <c r="I49" s="216"/>
      <c r="J49" s="186"/>
    </row>
    <row r="50" spans="1:11" s="176" customFormat="1" x14ac:dyDescent="0.25">
      <c r="A50" s="188"/>
      <c r="B50" s="178" t="s">
        <v>496</v>
      </c>
      <c r="C50" s="183" t="s">
        <v>497</v>
      </c>
      <c r="D50" s="192">
        <v>50000000</v>
      </c>
      <c r="E50" s="192"/>
      <c r="F50" s="192">
        <v>2400000</v>
      </c>
      <c r="G50" s="192">
        <f>E50+F50</f>
        <v>2400000</v>
      </c>
      <c r="H50" s="24">
        <f>G50/D50</f>
        <v>4.8000000000000001E-2</v>
      </c>
      <c r="I50" s="207" t="s">
        <v>47</v>
      </c>
      <c r="J50" s="175"/>
    </row>
    <row r="51" spans="1:11" s="176" customFormat="1" x14ac:dyDescent="0.25">
      <c r="A51" s="169"/>
      <c r="B51" s="22"/>
      <c r="C51" s="25"/>
      <c r="D51" s="192"/>
      <c r="E51" s="192"/>
      <c r="F51" s="192"/>
      <c r="G51" s="191"/>
      <c r="H51" s="236"/>
      <c r="I51" s="207"/>
      <c r="J51" s="175"/>
    </row>
    <row r="52" spans="1:11" s="176" customFormat="1" x14ac:dyDescent="0.25">
      <c r="A52" s="168" t="s">
        <v>49</v>
      </c>
      <c r="B52" s="22" t="s">
        <v>287</v>
      </c>
      <c r="C52" s="185" t="s">
        <v>50</v>
      </c>
      <c r="D52" s="196">
        <f>D53</f>
        <v>750000000</v>
      </c>
      <c r="E52" s="196"/>
      <c r="F52" s="196">
        <f t="shared" ref="F52:G54" si="18">F53</f>
        <v>74720000</v>
      </c>
      <c r="G52" s="196">
        <f t="shared" si="18"/>
        <v>74720000</v>
      </c>
      <c r="H52" s="236">
        <f>G52/D52</f>
        <v>9.9626666666666669E-2</v>
      </c>
      <c r="I52" s="207"/>
      <c r="J52" s="175"/>
    </row>
    <row r="53" spans="1:11" s="187" customFormat="1" x14ac:dyDescent="0.25">
      <c r="A53" s="169"/>
      <c r="B53" s="170" t="s">
        <v>288</v>
      </c>
      <c r="C53" s="185" t="s">
        <v>55</v>
      </c>
      <c r="D53" s="191">
        <f>D54</f>
        <v>750000000</v>
      </c>
      <c r="E53" s="191"/>
      <c r="F53" s="191">
        <f t="shared" si="18"/>
        <v>74720000</v>
      </c>
      <c r="G53" s="191">
        <f t="shared" si="18"/>
        <v>74720000</v>
      </c>
      <c r="H53" s="236">
        <f>G53/D53</f>
        <v>9.9626666666666669E-2</v>
      </c>
      <c r="I53" s="216" t="s">
        <v>52</v>
      </c>
      <c r="J53" s="186"/>
    </row>
    <row r="54" spans="1:11" s="176" customFormat="1" x14ac:dyDescent="0.25">
      <c r="A54" s="188"/>
      <c r="B54" s="170" t="s">
        <v>499</v>
      </c>
      <c r="C54" s="185" t="s">
        <v>51</v>
      </c>
      <c r="D54" s="191">
        <f>D55</f>
        <v>750000000</v>
      </c>
      <c r="E54" s="191"/>
      <c r="F54" s="191">
        <f t="shared" si="18"/>
        <v>74720000</v>
      </c>
      <c r="G54" s="191">
        <f t="shared" si="18"/>
        <v>74720000</v>
      </c>
      <c r="H54" s="236">
        <f>G54/D54</f>
        <v>9.9626666666666669E-2</v>
      </c>
      <c r="I54" s="207"/>
      <c r="J54" s="175"/>
    </row>
    <row r="55" spans="1:11" s="176" customFormat="1" x14ac:dyDescent="0.25">
      <c r="A55" s="188"/>
      <c r="B55" s="178" t="s">
        <v>498</v>
      </c>
      <c r="C55" s="183" t="s">
        <v>51</v>
      </c>
      <c r="D55" s="192">
        <v>750000000</v>
      </c>
      <c r="E55" s="192"/>
      <c r="F55" s="192">
        <v>74720000</v>
      </c>
      <c r="G55" s="192">
        <f>F55</f>
        <v>74720000</v>
      </c>
      <c r="H55" s="24">
        <f>G55/D55</f>
        <v>9.9626666666666669E-2</v>
      </c>
      <c r="I55" s="207"/>
      <c r="J55" s="175"/>
      <c r="K55" s="270"/>
    </row>
    <row r="56" spans="1:11" s="176" customFormat="1" x14ac:dyDescent="0.25">
      <c r="A56" s="169"/>
      <c r="B56" s="22"/>
      <c r="C56" s="25"/>
      <c r="D56" s="191"/>
      <c r="E56" s="191"/>
      <c r="F56" s="191"/>
      <c r="G56" s="191"/>
      <c r="H56" s="236"/>
      <c r="I56" s="217"/>
      <c r="J56" s="175"/>
    </row>
    <row r="57" spans="1:11" s="176" customFormat="1" x14ac:dyDescent="0.25">
      <c r="A57" s="168" t="s">
        <v>53</v>
      </c>
      <c r="B57" s="22" t="s">
        <v>289</v>
      </c>
      <c r="C57" s="185" t="s">
        <v>54</v>
      </c>
      <c r="D57" s="196">
        <f>D58+D63+D70</f>
        <v>30000000000</v>
      </c>
      <c r="E57" s="196">
        <f t="shared" ref="E57:G57" si="19">E58+E63+E70</f>
        <v>0</v>
      </c>
      <c r="F57" s="196">
        <f t="shared" si="19"/>
        <v>1723802550</v>
      </c>
      <c r="G57" s="196">
        <f t="shared" si="19"/>
        <v>1723802550</v>
      </c>
      <c r="H57" s="236">
        <f t="shared" ref="H57:H72" si="20">G57/D57</f>
        <v>5.7460085000000001E-2</v>
      </c>
      <c r="I57" s="209"/>
      <c r="J57" s="175"/>
    </row>
    <row r="58" spans="1:11" s="187" customFormat="1" x14ac:dyDescent="0.25">
      <c r="A58" s="169" t="s">
        <v>413</v>
      </c>
      <c r="B58" s="170" t="s">
        <v>288</v>
      </c>
      <c r="C58" s="185" t="s">
        <v>55</v>
      </c>
      <c r="D58" s="191">
        <f>D59+D61</f>
        <v>1829475000</v>
      </c>
      <c r="E58" s="191"/>
      <c r="F58" s="191">
        <f t="shared" ref="F58:G58" si="21">F59+F61</f>
        <v>32710800</v>
      </c>
      <c r="G58" s="191">
        <f t="shared" si="21"/>
        <v>32710800</v>
      </c>
      <c r="H58" s="236">
        <f t="shared" si="20"/>
        <v>1.7879883573156233E-2</v>
      </c>
      <c r="I58" s="207"/>
      <c r="J58" s="186"/>
    </row>
    <row r="59" spans="1:11" s="187" customFormat="1" x14ac:dyDescent="0.25">
      <c r="A59" s="169"/>
      <c r="B59" s="170" t="s">
        <v>290</v>
      </c>
      <c r="C59" s="185" t="s">
        <v>56</v>
      </c>
      <c r="D59" s="191">
        <f>D60</f>
        <v>1000000000</v>
      </c>
      <c r="E59" s="191"/>
      <c r="F59" s="191">
        <f t="shared" ref="F59:G59" si="22">F60</f>
        <v>26600000</v>
      </c>
      <c r="G59" s="191">
        <f t="shared" si="22"/>
        <v>26600000</v>
      </c>
      <c r="H59" s="236">
        <f t="shared" si="20"/>
        <v>2.6599999999999999E-2</v>
      </c>
      <c r="I59" s="207"/>
      <c r="J59" s="186"/>
    </row>
    <row r="60" spans="1:11" s="176" customFormat="1" x14ac:dyDescent="0.25">
      <c r="A60" s="188"/>
      <c r="B60" s="178" t="s">
        <v>500</v>
      </c>
      <c r="C60" s="183" t="s">
        <v>56</v>
      </c>
      <c r="D60" s="192">
        <v>1000000000</v>
      </c>
      <c r="E60" s="192"/>
      <c r="F60" s="192">
        <v>26600000</v>
      </c>
      <c r="G60" s="192">
        <f>E60+F60</f>
        <v>26600000</v>
      </c>
      <c r="H60" s="24">
        <f t="shared" si="20"/>
        <v>2.6599999999999999E-2</v>
      </c>
      <c r="I60" s="207" t="s">
        <v>57</v>
      </c>
      <c r="J60" s="175"/>
    </row>
    <row r="61" spans="1:11" s="176" customFormat="1" x14ac:dyDescent="0.25">
      <c r="A61" s="188"/>
      <c r="B61" s="170" t="s">
        <v>291</v>
      </c>
      <c r="C61" s="185" t="s">
        <v>292</v>
      </c>
      <c r="D61" s="191">
        <f>D62</f>
        <v>829475000</v>
      </c>
      <c r="E61" s="191"/>
      <c r="F61" s="191">
        <f t="shared" ref="F61:G61" si="23">F62</f>
        <v>6110800</v>
      </c>
      <c r="G61" s="191">
        <f t="shared" si="23"/>
        <v>6110800</v>
      </c>
      <c r="H61" s="236">
        <f t="shared" si="20"/>
        <v>7.3670695319328489E-3</v>
      </c>
      <c r="I61" s="207"/>
      <c r="J61" s="175"/>
    </row>
    <row r="62" spans="1:11" s="187" customFormat="1" ht="22.5" customHeight="1" x14ac:dyDescent="0.25">
      <c r="A62" s="169"/>
      <c r="B62" s="178" t="s">
        <v>501</v>
      </c>
      <c r="C62" s="183" t="s">
        <v>292</v>
      </c>
      <c r="D62" s="192">
        <v>829475000</v>
      </c>
      <c r="E62" s="192"/>
      <c r="F62" s="192">
        <v>6110800</v>
      </c>
      <c r="G62" s="192">
        <f>E62+F62</f>
        <v>6110800</v>
      </c>
      <c r="H62" s="24">
        <f t="shared" si="20"/>
        <v>7.3670695319328489E-3</v>
      </c>
      <c r="I62" s="207" t="s">
        <v>58</v>
      </c>
      <c r="J62" s="186"/>
    </row>
    <row r="63" spans="1:11" s="176" customFormat="1" x14ac:dyDescent="0.25">
      <c r="A63" s="169" t="s">
        <v>414</v>
      </c>
      <c r="B63" s="170" t="s">
        <v>285</v>
      </c>
      <c r="C63" s="185" t="s">
        <v>444</v>
      </c>
      <c r="D63" s="191">
        <f>D64+D66+D68</f>
        <v>28168525000</v>
      </c>
      <c r="E63" s="191"/>
      <c r="F63" s="191">
        <f t="shared" ref="F63:G63" si="24">F64+F66+F68</f>
        <v>1691091750</v>
      </c>
      <c r="G63" s="191">
        <f t="shared" si="24"/>
        <v>1691091750</v>
      </c>
      <c r="H63" s="236">
        <f t="shared" si="20"/>
        <v>6.0034799479205959E-2</v>
      </c>
      <c r="I63" s="207" t="s">
        <v>59</v>
      </c>
      <c r="J63" s="175"/>
    </row>
    <row r="64" spans="1:11" s="176" customFormat="1" x14ac:dyDescent="0.25">
      <c r="A64" s="169"/>
      <c r="B64" s="170" t="s">
        <v>293</v>
      </c>
      <c r="C64" s="185" t="s">
        <v>502</v>
      </c>
      <c r="D64" s="191">
        <f>D65</f>
        <v>74722500</v>
      </c>
      <c r="E64" s="191"/>
      <c r="F64" s="191">
        <f t="shared" ref="F64:G64" si="25">F65</f>
        <v>8340000</v>
      </c>
      <c r="G64" s="191">
        <f t="shared" si="25"/>
        <v>8340000</v>
      </c>
      <c r="H64" s="236">
        <f t="shared" si="20"/>
        <v>0.11161296798153167</v>
      </c>
      <c r="I64" s="207"/>
      <c r="J64" s="175"/>
    </row>
    <row r="65" spans="1:10" s="176" customFormat="1" x14ac:dyDescent="0.25">
      <c r="A65" s="188"/>
      <c r="B65" s="178" t="s">
        <v>503</v>
      </c>
      <c r="C65" s="183" t="s">
        <v>504</v>
      </c>
      <c r="D65" s="192">
        <v>74722500</v>
      </c>
      <c r="E65" s="192"/>
      <c r="F65" s="192">
        <v>8340000</v>
      </c>
      <c r="G65" s="192">
        <f>F65</f>
        <v>8340000</v>
      </c>
      <c r="H65" s="24">
        <f t="shared" si="20"/>
        <v>0.11161296798153167</v>
      </c>
      <c r="I65" s="207"/>
      <c r="J65" s="175"/>
    </row>
    <row r="66" spans="1:10" s="176" customFormat="1" x14ac:dyDescent="0.25">
      <c r="A66" s="169"/>
      <c r="B66" s="170" t="s">
        <v>294</v>
      </c>
      <c r="C66" s="185" t="s">
        <v>295</v>
      </c>
      <c r="D66" s="191">
        <f>D67</f>
        <v>27808802500</v>
      </c>
      <c r="E66" s="191">
        <f t="shared" ref="E66:G66" si="26">E67</f>
        <v>0</v>
      </c>
      <c r="F66" s="191">
        <f t="shared" si="26"/>
        <v>1679141000</v>
      </c>
      <c r="G66" s="191">
        <f t="shared" si="26"/>
        <v>1679141000</v>
      </c>
      <c r="H66" s="236">
        <f t="shared" si="20"/>
        <v>6.0381636354172388E-2</v>
      </c>
      <c r="I66" s="218"/>
      <c r="J66" s="175"/>
    </row>
    <row r="67" spans="1:10" s="176" customFormat="1" x14ac:dyDescent="0.25">
      <c r="A67" s="188"/>
      <c r="B67" s="178" t="s">
        <v>505</v>
      </c>
      <c r="C67" s="183" t="s">
        <v>295</v>
      </c>
      <c r="D67" s="192">
        <v>27808802500</v>
      </c>
      <c r="E67" s="192"/>
      <c r="F67" s="192">
        <v>1679141000</v>
      </c>
      <c r="G67" s="192">
        <f>E67+F67</f>
        <v>1679141000</v>
      </c>
      <c r="H67" s="24">
        <f t="shared" si="20"/>
        <v>6.0381636354172388E-2</v>
      </c>
      <c r="I67" s="218"/>
      <c r="J67" s="175"/>
    </row>
    <row r="68" spans="1:10" s="176" customFormat="1" x14ac:dyDescent="0.25">
      <c r="A68" s="188"/>
      <c r="B68" s="170" t="s">
        <v>296</v>
      </c>
      <c r="C68" s="185" t="s">
        <v>297</v>
      </c>
      <c r="D68" s="191">
        <f>SUM(D69)</f>
        <v>285000000</v>
      </c>
      <c r="E68" s="191"/>
      <c r="F68" s="191">
        <f t="shared" ref="F68:G68" si="27">SUM(F69)</f>
        <v>3610750</v>
      </c>
      <c r="G68" s="191">
        <f t="shared" si="27"/>
        <v>3610750</v>
      </c>
      <c r="H68" s="24">
        <f t="shared" si="20"/>
        <v>1.2669298245614035E-2</v>
      </c>
      <c r="I68" s="218"/>
      <c r="J68" s="175"/>
    </row>
    <row r="69" spans="1:10" s="176" customFormat="1" x14ac:dyDescent="0.25">
      <c r="A69" s="188"/>
      <c r="B69" s="178" t="s">
        <v>506</v>
      </c>
      <c r="C69" s="183" t="s">
        <v>297</v>
      </c>
      <c r="D69" s="192">
        <v>285000000</v>
      </c>
      <c r="E69" s="192"/>
      <c r="F69" s="192">
        <v>3610750</v>
      </c>
      <c r="G69" s="192">
        <f>E69+F69</f>
        <v>3610750</v>
      </c>
      <c r="H69" s="24">
        <f t="shared" si="20"/>
        <v>1.2669298245614035E-2</v>
      </c>
      <c r="I69" s="218"/>
      <c r="J69" s="175"/>
    </row>
    <row r="70" spans="1:10" s="176" customFormat="1" x14ac:dyDescent="0.25">
      <c r="A70" s="169" t="s">
        <v>415</v>
      </c>
      <c r="B70" s="170" t="s">
        <v>298</v>
      </c>
      <c r="C70" s="185" t="s">
        <v>60</v>
      </c>
      <c r="D70" s="191">
        <f>SUM(D71)</f>
        <v>2000000</v>
      </c>
      <c r="E70" s="191"/>
      <c r="F70" s="191">
        <f t="shared" ref="F70:G70" si="28">SUM(F71)</f>
        <v>0</v>
      </c>
      <c r="G70" s="191">
        <f t="shared" si="28"/>
        <v>0</v>
      </c>
      <c r="H70" s="236">
        <f t="shared" si="20"/>
        <v>0</v>
      </c>
      <c r="I70" s="207" t="s">
        <v>61</v>
      </c>
      <c r="J70" s="175"/>
    </row>
    <row r="71" spans="1:10" s="187" customFormat="1" x14ac:dyDescent="0.25">
      <c r="A71" s="169"/>
      <c r="B71" s="170" t="s">
        <v>299</v>
      </c>
      <c r="C71" s="185" t="s">
        <v>300</v>
      </c>
      <c r="D71" s="191">
        <f>D72</f>
        <v>2000000</v>
      </c>
      <c r="E71" s="191"/>
      <c r="F71" s="191">
        <f t="shared" ref="F71:G71" si="29">F72</f>
        <v>0</v>
      </c>
      <c r="G71" s="191">
        <f t="shared" si="29"/>
        <v>0</v>
      </c>
      <c r="H71" s="236">
        <f t="shared" si="20"/>
        <v>0</v>
      </c>
      <c r="I71" s="263"/>
      <c r="J71" s="186"/>
    </row>
    <row r="72" spans="1:10" s="176" customFormat="1" x14ac:dyDescent="0.25">
      <c r="A72" s="188"/>
      <c r="B72" s="178" t="s">
        <v>507</v>
      </c>
      <c r="C72" s="183" t="s">
        <v>300</v>
      </c>
      <c r="D72" s="192">
        <v>2000000</v>
      </c>
      <c r="E72" s="192"/>
      <c r="F72" s="192">
        <v>0</v>
      </c>
      <c r="G72" s="192">
        <f>E72+F72</f>
        <v>0</v>
      </c>
      <c r="H72" s="24">
        <f t="shared" si="20"/>
        <v>0</v>
      </c>
      <c r="I72" s="219"/>
      <c r="J72" s="175"/>
    </row>
    <row r="73" spans="1:10" s="176" customFormat="1" x14ac:dyDescent="0.25">
      <c r="A73" s="188"/>
      <c r="B73" s="178"/>
      <c r="C73" s="183"/>
      <c r="D73" s="192"/>
      <c r="E73" s="192"/>
      <c r="F73" s="192"/>
      <c r="G73" s="191"/>
      <c r="H73" s="236"/>
      <c r="I73" s="220"/>
      <c r="J73" s="175"/>
    </row>
    <row r="74" spans="1:10" s="176" customFormat="1" x14ac:dyDescent="0.25">
      <c r="A74" s="168" t="s">
        <v>62</v>
      </c>
      <c r="B74" s="22" t="s">
        <v>301</v>
      </c>
      <c r="C74" s="185" t="s">
        <v>63</v>
      </c>
      <c r="D74" s="191">
        <f t="shared" ref="D74:G76" si="30">D75</f>
        <v>25000000</v>
      </c>
      <c r="E74" s="191">
        <f t="shared" si="30"/>
        <v>0</v>
      </c>
      <c r="F74" s="191">
        <f t="shared" si="30"/>
        <v>2800000</v>
      </c>
      <c r="G74" s="191">
        <f t="shared" si="30"/>
        <v>2800000</v>
      </c>
      <c r="H74" s="236">
        <f>G74/D74</f>
        <v>0.112</v>
      </c>
      <c r="I74" s="209"/>
      <c r="J74" s="175"/>
    </row>
    <row r="75" spans="1:10" s="187" customFormat="1" x14ac:dyDescent="0.25">
      <c r="A75" s="169"/>
      <c r="B75" s="170" t="s">
        <v>285</v>
      </c>
      <c r="C75" s="185" t="s">
        <v>444</v>
      </c>
      <c r="D75" s="191">
        <f t="shared" si="30"/>
        <v>25000000</v>
      </c>
      <c r="E75" s="191">
        <f t="shared" si="30"/>
        <v>0</v>
      </c>
      <c r="F75" s="191">
        <f t="shared" si="30"/>
        <v>2800000</v>
      </c>
      <c r="G75" s="191">
        <f t="shared" si="30"/>
        <v>2800000</v>
      </c>
      <c r="H75" s="236">
        <f>G75/D75</f>
        <v>0.112</v>
      </c>
      <c r="I75" s="216"/>
      <c r="J75" s="186"/>
    </row>
    <row r="76" spans="1:10" s="187" customFormat="1" x14ac:dyDescent="0.25">
      <c r="A76" s="169"/>
      <c r="B76" s="170" t="s">
        <v>302</v>
      </c>
      <c r="C76" s="185" t="s">
        <v>64</v>
      </c>
      <c r="D76" s="191">
        <f>D77</f>
        <v>25000000</v>
      </c>
      <c r="E76" s="191"/>
      <c r="F76" s="191">
        <f t="shared" si="30"/>
        <v>2800000</v>
      </c>
      <c r="G76" s="191">
        <f t="shared" si="30"/>
        <v>2800000</v>
      </c>
      <c r="H76" s="236">
        <f>G76/D76</f>
        <v>0.112</v>
      </c>
      <c r="I76" s="216"/>
      <c r="J76" s="186"/>
    </row>
    <row r="77" spans="1:10" s="176" customFormat="1" x14ac:dyDescent="0.25">
      <c r="A77" s="27"/>
      <c r="B77" s="178" t="s">
        <v>508</v>
      </c>
      <c r="C77" s="28" t="s">
        <v>509</v>
      </c>
      <c r="D77" s="192">
        <v>25000000</v>
      </c>
      <c r="E77" s="192"/>
      <c r="F77" s="192">
        <v>2800000</v>
      </c>
      <c r="G77" s="192">
        <f>E77+F77</f>
        <v>2800000</v>
      </c>
      <c r="H77" s="24">
        <f>G77/D77</f>
        <v>0.112</v>
      </c>
      <c r="I77" s="207" t="s">
        <v>65</v>
      </c>
      <c r="J77" s="175"/>
    </row>
    <row r="78" spans="1:10" s="176" customFormat="1" x14ac:dyDescent="0.25">
      <c r="A78" s="27"/>
      <c r="B78" s="178"/>
      <c r="C78" s="171"/>
      <c r="D78" s="192"/>
      <c r="E78" s="192"/>
      <c r="F78" s="192"/>
      <c r="G78" s="191"/>
      <c r="H78" s="236"/>
      <c r="I78" s="207"/>
      <c r="J78" s="175"/>
    </row>
    <row r="79" spans="1:10" s="176" customFormat="1" x14ac:dyDescent="0.25">
      <c r="A79" s="168" t="s">
        <v>66</v>
      </c>
      <c r="B79" s="22" t="s">
        <v>303</v>
      </c>
      <c r="C79" s="185" t="s">
        <v>67</v>
      </c>
      <c r="D79" s="196">
        <f>SUM(D80)</f>
        <v>15000000000</v>
      </c>
      <c r="E79" s="196"/>
      <c r="F79" s="196">
        <f t="shared" ref="F79:G79" si="31">SUM(F80)</f>
        <v>0</v>
      </c>
      <c r="G79" s="196">
        <f t="shared" si="31"/>
        <v>0</v>
      </c>
      <c r="H79" s="236">
        <f t="shared" ref="H79:H84" si="32">G79/D79</f>
        <v>0</v>
      </c>
      <c r="I79" s="209"/>
      <c r="J79" s="175"/>
    </row>
    <row r="80" spans="1:10" s="176" customFormat="1" x14ac:dyDescent="0.25">
      <c r="A80" s="27"/>
      <c r="B80" s="170" t="s">
        <v>298</v>
      </c>
      <c r="C80" s="185" t="s">
        <v>60</v>
      </c>
      <c r="D80" s="191">
        <f>D81+D83</f>
        <v>15000000000</v>
      </c>
      <c r="E80" s="191"/>
      <c r="F80" s="191">
        <f t="shared" ref="F80:G80" si="33">F81+F83</f>
        <v>0</v>
      </c>
      <c r="G80" s="191">
        <f t="shared" si="33"/>
        <v>0</v>
      </c>
      <c r="H80" s="236">
        <f t="shared" si="32"/>
        <v>0</v>
      </c>
      <c r="I80" s="207"/>
      <c r="J80" s="175"/>
    </row>
    <row r="81" spans="1:10" s="187" customFormat="1" x14ac:dyDescent="0.25">
      <c r="A81" s="264"/>
      <c r="B81" s="170" t="s">
        <v>304</v>
      </c>
      <c r="C81" s="185" t="s">
        <v>68</v>
      </c>
      <c r="D81" s="191">
        <f>D82</f>
        <v>14990050000</v>
      </c>
      <c r="E81" s="191"/>
      <c r="F81" s="191">
        <f t="shared" ref="F81:G81" si="34">F82</f>
        <v>0</v>
      </c>
      <c r="G81" s="191">
        <f t="shared" si="34"/>
        <v>0</v>
      </c>
      <c r="H81" s="236">
        <f t="shared" si="32"/>
        <v>0</v>
      </c>
      <c r="I81" s="216" t="s">
        <v>69</v>
      </c>
      <c r="J81" s="186"/>
    </row>
    <row r="82" spans="1:10" s="176" customFormat="1" x14ac:dyDescent="0.25">
      <c r="A82" s="27"/>
      <c r="B82" s="178" t="s">
        <v>510</v>
      </c>
      <c r="C82" s="183" t="s">
        <v>68</v>
      </c>
      <c r="D82" s="192">
        <v>14990050000</v>
      </c>
      <c r="E82" s="192"/>
      <c r="F82" s="192"/>
      <c r="G82" s="192">
        <f>E82+F82</f>
        <v>0</v>
      </c>
      <c r="H82" s="24">
        <f t="shared" si="32"/>
        <v>0</v>
      </c>
      <c r="I82" s="207" t="s">
        <v>69</v>
      </c>
      <c r="J82" s="175"/>
    </row>
    <row r="83" spans="1:10" s="187" customFormat="1" x14ac:dyDescent="0.25">
      <c r="A83" s="264"/>
      <c r="B83" s="170" t="s">
        <v>305</v>
      </c>
      <c r="C83" s="185" t="s">
        <v>70</v>
      </c>
      <c r="D83" s="191">
        <f>D84</f>
        <v>9950000</v>
      </c>
      <c r="E83" s="191"/>
      <c r="F83" s="191">
        <f t="shared" ref="F83:G83" si="35">F84</f>
        <v>0</v>
      </c>
      <c r="G83" s="191">
        <f t="shared" si="35"/>
        <v>0</v>
      </c>
      <c r="H83" s="236">
        <f t="shared" si="32"/>
        <v>0</v>
      </c>
      <c r="I83" s="216" t="s">
        <v>71</v>
      </c>
      <c r="J83" s="186"/>
    </row>
    <row r="84" spans="1:10" s="176" customFormat="1" x14ac:dyDescent="0.25">
      <c r="A84" s="27"/>
      <c r="B84" s="178" t="s">
        <v>511</v>
      </c>
      <c r="C84" s="183" t="s">
        <v>70</v>
      </c>
      <c r="D84" s="192">
        <v>9950000</v>
      </c>
      <c r="E84" s="192"/>
      <c r="F84" s="192">
        <v>0</v>
      </c>
      <c r="G84" s="192">
        <f>E84+F84</f>
        <v>0</v>
      </c>
      <c r="H84" s="24">
        <f t="shared" si="32"/>
        <v>0</v>
      </c>
      <c r="I84" s="207" t="s">
        <v>71</v>
      </c>
      <c r="J84" s="175"/>
    </row>
    <row r="85" spans="1:10" s="176" customFormat="1" x14ac:dyDescent="0.25">
      <c r="A85" s="27"/>
      <c r="B85" s="178"/>
      <c r="C85" s="183"/>
      <c r="D85" s="192"/>
      <c r="E85" s="192"/>
      <c r="F85" s="192"/>
      <c r="G85" s="191"/>
      <c r="H85" s="236"/>
      <c r="I85" s="207"/>
      <c r="J85" s="175"/>
    </row>
    <row r="86" spans="1:10" s="176" customFormat="1" ht="24" customHeight="1" x14ac:dyDescent="0.25">
      <c r="A86" s="29" t="s">
        <v>73</v>
      </c>
      <c r="B86" s="22" t="s">
        <v>307</v>
      </c>
      <c r="C86" s="185" t="s">
        <v>82</v>
      </c>
      <c r="D86" s="196">
        <f>D87</f>
        <v>25440000</v>
      </c>
      <c r="E86" s="196"/>
      <c r="F86" s="196">
        <f t="shared" ref="F86:G86" si="36">F87</f>
        <v>0</v>
      </c>
      <c r="G86" s="196">
        <f t="shared" si="36"/>
        <v>0</v>
      </c>
      <c r="H86" s="236">
        <f>G86/D86</f>
        <v>0</v>
      </c>
      <c r="I86" s="209"/>
      <c r="J86" s="175"/>
    </row>
    <row r="87" spans="1:10" s="187" customFormat="1" x14ac:dyDescent="0.25">
      <c r="A87" s="169"/>
      <c r="B87" s="170" t="s">
        <v>285</v>
      </c>
      <c r="C87" s="185" t="s">
        <v>444</v>
      </c>
      <c r="D87" s="191">
        <f>D89</f>
        <v>25440000</v>
      </c>
      <c r="E87" s="191"/>
      <c r="F87" s="191">
        <f>F89</f>
        <v>0</v>
      </c>
      <c r="G87" s="191">
        <f>G89</f>
        <v>0</v>
      </c>
      <c r="H87" s="236">
        <f>G87/D87</f>
        <v>0</v>
      </c>
      <c r="I87" s="207" t="s">
        <v>83</v>
      </c>
      <c r="J87" s="186"/>
    </row>
    <row r="88" spans="1:10" s="187" customFormat="1" x14ac:dyDescent="0.25">
      <c r="A88" s="169"/>
      <c r="B88" s="170" t="s">
        <v>308</v>
      </c>
      <c r="C88" s="172" t="s">
        <v>309</v>
      </c>
      <c r="D88" s="191">
        <f>D89</f>
        <v>25440000</v>
      </c>
      <c r="E88" s="191"/>
      <c r="F88" s="191">
        <f t="shared" ref="F88:G88" si="37">F89</f>
        <v>0</v>
      </c>
      <c r="G88" s="191">
        <f t="shared" si="37"/>
        <v>0</v>
      </c>
      <c r="H88" s="236">
        <f>G88/D88</f>
        <v>0</v>
      </c>
      <c r="I88" s="216"/>
      <c r="J88" s="186"/>
    </row>
    <row r="89" spans="1:10" s="176" customFormat="1" x14ac:dyDescent="0.25">
      <c r="A89" s="188"/>
      <c r="B89" s="178" t="s">
        <v>512</v>
      </c>
      <c r="C89" s="171" t="s">
        <v>309</v>
      </c>
      <c r="D89" s="192">
        <v>25440000</v>
      </c>
      <c r="E89" s="192"/>
      <c r="F89" s="192"/>
      <c r="G89" s="192">
        <f>E89+F89</f>
        <v>0</v>
      </c>
      <c r="H89" s="24">
        <f>G89/D89</f>
        <v>0</v>
      </c>
      <c r="I89" s="207"/>
      <c r="J89" s="175"/>
    </row>
    <row r="90" spans="1:10" s="176" customFormat="1" x14ac:dyDescent="0.25">
      <c r="A90" s="169"/>
      <c r="B90" s="22"/>
      <c r="C90" s="25"/>
      <c r="D90" s="192"/>
      <c r="E90" s="192"/>
      <c r="F90" s="192"/>
      <c r="G90" s="191"/>
      <c r="H90" s="236"/>
      <c r="I90" s="221"/>
      <c r="J90" s="175"/>
    </row>
    <row r="91" spans="1:10" s="176" customFormat="1" ht="24.75" customHeight="1" x14ac:dyDescent="0.25">
      <c r="A91" s="29" t="s">
        <v>74</v>
      </c>
      <c r="B91" s="22" t="s">
        <v>310</v>
      </c>
      <c r="C91" s="185" t="s">
        <v>84</v>
      </c>
      <c r="D91" s="196">
        <f>D92</f>
        <v>1000000000</v>
      </c>
      <c r="E91" s="196"/>
      <c r="F91" s="196">
        <f t="shared" ref="F91:G93" si="38">F92</f>
        <v>0</v>
      </c>
      <c r="G91" s="196">
        <f t="shared" si="38"/>
        <v>0</v>
      </c>
      <c r="H91" s="236">
        <f>G91/D91</f>
        <v>0</v>
      </c>
      <c r="I91" s="207"/>
      <c r="J91" s="175"/>
    </row>
    <row r="92" spans="1:10" s="187" customFormat="1" x14ac:dyDescent="0.25">
      <c r="A92" s="169"/>
      <c r="B92" s="170" t="s">
        <v>288</v>
      </c>
      <c r="C92" s="185" t="s">
        <v>55</v>
      </c>
      <c r="D92" s="191">
        <f>D93</f>
        <v>1000000000</v>
      </c>
      <c r="E92" s="191"/>
      <c r="F92" s="191">
        <f t="shared" si="38"/>
        <v>0</v>
      </c>
      <c r="G92" s="191">
        <f t="shared" si="38"/>
        <v>0</v>
      </c>
      <c r="H92" s="236">
        <f>G92/D92</f>
        <v>0</v>
      </c>
      <c r="I92" s="216" t="s">
        <v>85</v>
      </c>
      <c r="J92" s="186"/>
    </row>
    <row r="93" spans="1:10" s="187" customFormat="1" x14ac:dyDescent="0.25">
      <c r="A93" s="169"/>
      <c r="B93" s="170" t="s">
        <v>311</v>
      </c>
      <c r="C93" s="185" t="s">
        <v>312</v>
      </c>
      <c r="D93" s="191">
        <f>D94</f>
        <v>1000000000</v>
      </c>
      <c r="E93" s="191"/>
      <c r="F93" s="191">
        <f t="shared" si="38"/>
        <v>0</v>
      </c>
      <c r="G93" s="191">
        <f t="shared" si="38"/>
        <v>0</v>
      </c>
      <c r="H93" s="236">
        <f>G93/D93</f>
        <v>0</v>
      </c>
      <c r="I93" s="216"/>
      <c r="J93" s="186"/>
    </row>
    <row r="94" spans="1:10" s="176" customFormat="1" x14ac:dyDescent="0.25">
      <c r="A94" s="188"/>
      <c r="B94" s="178" t="s">
        <v>513</v>
      </c>
      <c r="C94" s="183" t="s">
        <v>312</v>
      </c>
      <c r="D94" s="192">
        <v>1000000000</v>
      </c>
      <c r="E94" s="192"/>
      <c r="F94" s="192"/>
      <c r="G94" s="192">
        <f>E94+F94</f>
        <v>0</v>
      </c>
      <c r="H94" s="24">
        <f>G94/D94</f>
        <v>0</v>
      </c>
      <c r="I94" s="207"/>
      <c r="J94" s="175"/>
    </row>
    <row r="95" spans="1:10" s="176" customFormat="1" x14ac:dyDescent="0.25">
      <c r="A95" s="188"/>
      <c r="B95" s="178"/>
      <c r="C95" s="183"/>
      <c r="D95" s="192"/>
      <c r="E95" s="192"/>
      <c r="F95" s="192"/>
      <c r="G95" s="191"/>
      <c r="H95" s="236"/>
      <c r="I95" s="207"/>
      <c r="J95" s="175"/>
    </row>
    <row r="96" spans="1:10" s="176" customFormat="1" ht="41.25" customHeight="1" x14ac:dyDescent="0.25">
      <c r="A96" s="168" t="s">
        <v>86</v>
      </c>
      <c r="B96" s="189" t="s">
        <v>313</v>
      </c>
      <c r="C96" s="30" t="s">
        <v>87</v>
      </c>
      <c r="D96" s="196">
        <f>SUM(D97)</f>
        <v>1663748324</v>
      </c>
      <c r="E96" s="196"/>
      <c r="F96" s="196">
        <f t="shared" ref="F96:G96" si="39">SUM(F97)</f>
        <v>0</v>
      </c>
      <c r="G96" s="196">
        <f t="shared" si="39"/>
        <v>0</v>
      </c>
      <c r="H96" s="236">
        <f>G96/D96</f>
        <v>0</v>
      </c>
      <c r="I96" s="209"/>
      <c r="J96" s="175"/>
    </row>
    <row r="97" spans="1:11" s="176" customFormat="1" ht="30" x14ac:dyDescent="0.25">
      <c r="A97" s="188"/>
      <c r="B97" s="189" t="s">
        <v>314</v>
      </c>
      <c r="C97" s="30" t="s">
        <v>88</v>
      </c>
      <c r="D97" s="191">
        <f>SUM(D98:D100)</f>
        <v>1663748324</v>
      </c>
      <c r="E97" s="191"/>
      <c r="F97" s="191">
        <f t="shared" ref="F97:G97" si="40">SUM(F98:F100)</f>
        <v>0</v>
      </c>
      <c r="G97" s="191">
        <f t="shared" si="40"/>
        <v>0</v>
      </c>
      <c r="H97" s="236">
        <f>G97/D97</f>
        <v>0</v>
      </c>
      <c r="I97" s="209"/>
      <c r="J97" s="175"/>
    </row>
    <row r="98" spans="1:11" s="176" customFormat="1" x14ac:dyDescent="0.25">
      <c r="A98" s="184" t="s">
        <v>89</v>
      </c>
      <c r="B98" s="190" t="s">
        <v>314</v>
      </c>
      <c r="C98" s="183" t="s">
        <v>90</v>
      </c>
      <c r="D98" s="192">
        <v>895097348</v>
      </c>
      <c r="E98" s="192"/>
      <c r="F98" s="192"/>
      <c r="G98" s="192">
        <f>E98+F98</f>
        <v>0</v>
      </c>
      <c r="H98" s="24">
        <f>G98/D98</f>
        <v>0</v>
      </c>
      <c r="I98" s="207"/>
      <c r="J98" s="175"/>
    </row>
    <row r="99" spans="1:11" s="176" customFormat="1" x14ac:dyDescent="0.25">
      <c r="A99" s="184" t="s">
        <v>91</v>
      </c>
      <c r="B99" s="190" t="s">
        <v>314</v>
      </c>
      <c r="C99" s="183" t="s">
        <v>92</v>
      </c>
      <c r="D99" s="192">
        <v>455948308</v>
      </c>
      <c r="E99" s="192"/>
      <c r="F99" s="192"/>
      <c r="G99" s="192">
        <f t="shared" ref="G99:G100" si="41">E99+F99</f>
        <v>0</v>
      </c>
      <c r="H99" s="24">
        <f>G99/D99</f>
        <v>0</v>
      </c>
      <c r="I99" s="207" t="s">
        <v>93</v>
      </c>
      <c r="J99" s="175"/>
    </row>
    <row r="100" spans="1:11" s="176" customFormat="1" x14ac:dyDescent="0.25">
      <c r="A100" s="184" t="s">
        <v>72</v>
      </c>
      <c r="B100" s="190" t="s">
        <v>314</v>
      </c>
      <c r="C100" s="183" t="s">
        <v>94</v>
      </c>
      <c r="D100" s="192">
        <v>312702668</v>
      </c>
      <c r="E100" s="192"/>
      <c r="F100" s="192"/>
      <c r="G100" s="192">
        <f t="shared" si="41"/>
        <v>0</v>
      </c>
      <c r="H100" s="24">
        <f>G100/D100</f>
        <v>0</v>
      </c>
      <c r="I100" s="207"/>
      <c r="J100" s="175"/>
    </row>
    <row r="101" spans="1:11" s="176" customFormat="1" x14ac:dyDescent="0.25">
      <c r="A101" s="188"/>
      <c r="B101" s="178"/>
      <c r="C101" s="183"/>
      <c r="D101" s="192"/>
      <c r="E101" s="192"/>
      <c r="F101" s="192"/>
      <c r="G101" s="191"/>
      <c r="H101" s="236"/>
      <c r="I101" s="207"/>
      <c r="J101" s="175"/>
    </row>
    <row r="102" spans="1:11" s="176" customFormat="1" ht="21" customHeight="1" x14ac:dyDescent="0.25">
      <c r="A102" s="169" t="s">
        <v>95</v>
      </c>
      <c r="B102" s="189" t="s">
        <v>315</v>
      </c>
      <c r="C102" s="185" t="s">
        <v>96</v>
      </c>
      <c r="D102" s="191">
        <f>SUM(D104+D115+D119+D123+D135+D137+D150+D152+D159+D199+D213+D219+D109+D112+D131)</f>
        <v>146329185066</v>
      </c>
      <c r="E102" s="191">
        <f>SUM(E104+E115+E119+E123+E135+E137+E150+E152+E159+E199+E213+E219+E109+E112+E131)</f>
        <v>0</v>
      </c>
      <c r="F102" s="191">
        <f>SUM(F104+F115+F119+F123+F135+F137+F150+F152+F159+F199+F213+F219+F109+F112+F131)</f>
        <v>8278313946.3499994</v>
      </c>
      <c r="G102" s="191">
        <f>SUM(G104+G115+G119+G123+G135+G137+G150+G152+G159+G199+G213+G219+G109+G112+G131)</f>
        <v>8278313946.3499994</v>
      </c>
      <c r="H102" s="236">
        <f>G102/D102</f>
        <v>5.657322524290808E-2</v>
      </c>
      <c r="I102" s="209"/>
      <c r="J102" s="175"/>
      <c r="K102" s="270"/>
    </row>
    <row r="103" spans="1:11" s="176" customFormat="1" x14ac:dyDescent="0.25">
      <c r="A103" s="169"/>
      <c r="B103" s="31"/>
      <c r="C103" s="32"/>
      <c r="D103" s="192"/>
      <c r="E103" s="192"/>
      <c r="F103" s="192"/>
      <c r="G103" s="191"/>
      <c r="H103" s="236"/>
      <c r="I103" s="209"/>
      <c r="J103" s="175"/>
    </row>
    <row r="104" spans="1:11" s="176" customFormat="1" x14ac:dyDescent="0.25">
      <c r="A104" s="168" t="s">
        <v>19</v>
      </c>
      <c r="B104" s="189" t="s">
        <v>587</v>
      </c>
      <c r="C104" s="180" t="s">
        <v>589</v>
      </c>
      <c r="D104" s="191">
        <f>D106</f>
        <v>3029424600</v>
      </c>
      <c r="E104" s="191"/>
      <c r="F104" s="191">
        <f t="shared" ref="F104:G104" si="42">F106</f>
        <v>0</v>
      </c>
      <c r="G104" s="191">
        <f t="shared" si="42"/>
        <v>0</v>
      </c>
      <c r="H104" s="236">
        <f>G104/D104</f>
        <v>0</v>
      </c>
      <c r="I104" s="209"/>
      <c r="J104" s="175"/>
    </row>
    <row r="105" spans="1:11" s="176" customFormat="1" x14ac:dyDescent="0.25">
      <c r="A105" s="168"/>
      <c r="B105" s="189" t="s">
        <v>588</v>
      </c>
      <c r="C105" s="180" t="s">
        <v>589</v>
      </c>
      <c r="D105" s="191"/>
      <c r="E105" s="191"/>
      <c r="F105" s="192"/>
      <c r="G105" s="191"/>
      <c r="H105" s="236"/>
      <c r="I105" s="209"/>
      <c r="J105" s="175"/>
    </row>
    <row r="106" spans="1:11" s="176" customFormat="1" x14ac:dyDescent="0.25">
      <c r="A106" s="168"/>
      <c r="B106" s="189" t="s">
        <v>584</v>
      </c>
      <c r="C106" s="180" t="s">
        <v>585</v>
      </c>
      <c r="D106" s="191">
        <f>D107</f>
        <v>3029424600</v>
      </c>
      <c r="E106" s="191"/>
      <c r="F106" s="191">
        <f t="shared" ref="F106:G106" si="43">F107</f>
        <v>0</v>
      </c>
      <c r="G106" s="191">
        <f t="shared" si="43"/>
        <v>0</v>
      </c>
      <c r="H106" s="236">
        <f>G106/D106</f>
        <v>0</v>
      </c>
      <c r="I106" s="209"/>
      <c r="J106" s="175"/>
    </row>
    <row r="107" spans="1:11" s="176" customFormat="1" x14ac:dyDescent="0.25">
      <c r="A107" s="168"/>
      <c r="B107" s="190"/>
      <c r="C107" s="33" t="s">
        <v>586</v>
      </c>
      <c r="D107" s="192">
        <v>3029424600</v>
      </c>
      <c r="E107" s="192"/>
      <c r="F107" s="192"/>
      <c r="G107" s="192">
        <f>E107+F107</f>
        <v>0</v>
      </c>
      <c r="H107" s="24">
        <f>G107/D107</f>
        <v>0</v>
      </c>
      <c r="I107" s="209"/>
      <c r="J107" s="175"/>
    </row>
    <row r="108" spans="1:11" s="176" customFormat="1" x14ac:dyDescent="0.25">
      <c r="A108" s="169"/>
      <c r="B108" s="31"/>
      <c r="C108" s="32"/>
      <c r="D108" s="192"/>
      <c r="E108" s="192"/>
      <c r="F108" s="192"/>
      <c r="G108" s="191"/>
      <c r="H108" s="236"/>
      <c r="I108" s="209"/>
      <c r="J108" s="175"/>
    </row>
    <row r="109" spans="1:11" s="176" customFormat="1" x14ac:dyDescent="0.25">
      <c r="A109" s="168"/>
      <c r="B109" s="190" t="s">
        <v>590</v>
      </c>
      <c r="C109" s="172" t="s">
        <v>581</v>
      </c>
      <c r="D109" s="191">
        <f>SUM(D110)</f>
        <v>0</v>
      </c>
      <c r="E109" s="191"/>
      <c r="F109" s="191">
        <f t="shared" ref="F109:G109" si="44">SUM(F110)</f>
        <v>0</v>
      </c>
      <c r="G109" s="191">
        <f t="shared" si="44"/>
        <v>0</v>
      </c>
      <c r="H109" s="236"/>
      <c r="I109" s="207"/>
      <c r="J109" s="175"/>
    </row>
    <row r="110" spans="1:11" s="176" customFormat="1" x14ac:dyDescent="0.25">
      <c r="A110" s="168"/>
      <c r="B110" s="189"/>
      <c r="C110" s="193" t="s">
        <v>622</v>
      </c>
      <c r="D110" s="192">
        <v>0</v>
      </c>
      <c r="E110" s="192"/>
      <c r="F110" s="192">
        <v>0</v>
      </c>
      <c r="G110" s="192">
        <f>E110+F110</f>
        <v>0</v>
      </c>
      <c r="H110" s="236"/>
      <c r="I110" s="207"/>
      <c r="J110" s="175"/>
    </row>
    <row r="111" spans="1:11" s="176" customFormat="1" x14ac:dyDescent="0.25">
      <c r="A111" s="168"/>
      <c r="B111" s="189"/>
      <c r="C111" s="193"/>
      <c r="D111" s="192"/>
      <c r="E111" s="192"/>
      <c r="F111" s="192"/>
      <c r="G111" s="192"/>
      <c r="H111" s="236"/>
      <c r="I111" s="207"/>
      <c r="J111" s="175"/>
    </row>
    <row r="112" spans="1:11" s="176" customFormat="1" x14ac:dyDescent="0.25">
      <c r="A112" s="169"/>
      <c r="B112" s="190" t="s">
        <v>318</v>
      </c>
      <c r="C112" s="172" t="s">
        <v>319</v>
      </c>
      <c r="D112" s="191">
        <f>SUM(D113:D113)</f>
        <v>186000000</v>
      </c>
      <c r="E112" s="191"/>
      <c r="F112" s="191">
        <f>SUM(F113:F113)</f>
        <v>115046000</v>
      </c>
      <c r="G112" s="191">
        <f>SUM(G113:G113)</f>
        <v>115046000</v>
      </c>
      <c r="H112" s="236">
        <f>G112/D112</f>
        <v>0.61852688172043013</v>
      </c>
      <c r="I112" s="209"/>
      <c r="J112" s="175"/>
    </row>
    <row r="113" spans="1:10" s="176" customFormat="1" x14ac:dyDescent="0.25">
      <c r="A113" s="169"/>
      <c r="B113" s="190"/>
      <c r="C113" s="193" t="s">
        <v>670</v>
      </c>
      <c r="D113" s="192">
        <v>186000000</v>
      </c>
      <c r="E113" s="192"/>
      <c r="F113" s="192">
        <v>115046000</v>
      </c>
      <c r="G113" s="192">
        <f t="shared" ref="G113" si="45">E113+F113</f>
        <v>115046000</v>
      </c>
      <c r="H113" s="24">
        <f t="shared" ref="H113" si="46">G113/D113</f>
        <v>0.61852688172043013</v>
      </c>
      <c r="I113" s="209"/>
      <c r="J113" s="175"/>
    </row>
    <row r="114" spans="1:10" s="176" customFormat="1" x14ac:dyDescent="0.25">
      <c r="A114" s="169"/>
      <c r="B114" s="190"/>
      <c r="C114" s="193"/>
      <c r="D114" s="192"/>
      <c r="E114" s="192"/>
      <c r="F114" s="192"/>
      <c r="G114" s="191"/>
      <c r="H114" s="236"/>
      <c r="I114" s="209"/>
      <c r="J114" s="175"/>
    </row>
    <row r="115" spans="1:10" s="176" customFormat="1" x14ac:dyDescent="0.25">
      <c r="A115" s="168" t="s">
        <v>46</v>
      </c>
      <c r="B115" s="189" t="s">
        <v>342</v>
      </c>
      <c r="C115" s="185" t="s">
        <v>343</v>
      </c>
      <c r="D115" s="191">
        <f>D116</f>
        <v>1000000000</v>
      </c>
      <c r="E115" s="191"/>
      <c r="F115" s="191">
        <f t="shared" ref="F115:G116" si="47">F116</f>
        <v>0</v>
      </c>
      <c r="G115" s="191">
        <f t="shared" si="47"/>
        <v>0</v>
      </c>
      <c r="H115" s="236">
        <f>G115/D115</f>
        <v>0</v>
      </c>
      <c r="I115" s="209"/>
      <c r="J115" s="175"/>
    </row>
    <row r="116" spans="1:10" s="187" customFormat="1" x14ac:dyDescent="0.25">
      <c r="A116" s="169"/>
      <c r="B116" s="189" t="s">
        <v>344</v>
      </c>
      <c r="C116" s="185" t="s">
        <v>349</v>
      </c>
      <c r="D116" s="191">
        <f>D117</f>
        <v>1000000000</v>
      </c>
      <c r="E116" s="191"/>
      <c r="F116" s="191">
        <f t="shared" si="47"/>
        <v>0</v>
      </c>
      <c r="G116" s="191">
        <f t="shared" si="47"/>
        <v>0</v>
      </c>
      <c r="H116" s="236">
        <f>G116/D116</f>
        <v>0</v>
      </c>
      <c r="I116" s="210"/>
      <c r="J116" s="186"/>
    </row>
    <row r="117" spans="1:10" s="176" customFormat="1" x14ac:dyDescent="0.25">
      <c r="A117" s="169"/>
      <c r="B117" s="190"/>
      <c r="C117" s="171" t="s">
        <v>162</v>
      </c>
      <c r="D117" s="192">
        <v>1000000000</v>
      </c>
      <c r="E117" s="192"/>
      <c r="F117" s="192"/>
      <c r="G117" s="192">
        <f>E117+F117</f>
        <v>0</v>
      </c>
      <c r="H117" s="24">
        <f>G117/D117</f>
        <v>0</v>
      </c>
      <c r="I117" s="209"/>
      <c r="J117" s="175"/>
    </row>
    <row r="118" spans="1:10" s="176" customFormat="1" x14ac:dyDescent="0.25">
      <c r="A118" s="169"/>
      <c r="B118" s="190"/>
      <c r="C118" s="193"/>
      <c r="D118" s="192"/>
      <c r="E118" s="192"/>
      <c r="F118" s="192"/>
      <c r="G118" s="191"/>
      <c r="H118" s="236"/>
      <c r="I118" s="209"/>
      <c r="J118" s="175"/>
    </row>
    <row r="119" spans="1:10" s="176" customFormat="1" x14ac:dyDescent="0.25">
      <c r="A119" s="168" t="s">
        <v>8</v>
      </c>
      <c r="B119" s="189" t="s">
        <v>320</v>
      </c>
      <c r="C119" s="185" t="s">
        <v>97</v>
      </c>
      <c r="D119" s="196">
        <f>SUM(D120:D121)</f>
        <v>2750000000</v>
      </c>
      <c r="E119" s="196"/>
      <c r="F119" s="196">
        <f t="shared" ref="F119:G119" si="48">SUM(F120:F121)</f>
        <v>290476993.56999999</v>
      </c>
      <c r="G119" s="196">
        <f t="shared" si="48"/>
        <v>290476993.56999999</v>
      </c>
      <c r="H119" s="236">
        <f>G119/D119</f>
        <v>0.10562799766181818</v>
      </c>
      <c r="I119" s="207"/>
      <c r="J119" s="175"/>
    </row>
    <row r="120" spans="1:10" s="176" customFormat="1" x14ac:dyDescent="0.25">
      <c r="A120" s="188"/>
      <c r="B120" s="190" t="s">
        <v>514</v>
      </c>
      <c r="C120" s="183" t="s">
        <v>515</v>
      </c>
      <c r="D120" s="192">
        <v>2500000000</v>
      </c>
      <c r="E120" s="192"/>
      <c r="F120" s="192">
        <v>285478397.56999999</v>
      </c>
      <c r="G120" s="192">
        <f>E120+F120</f>
        <v>285478397.56999999</v>
      </c>
      <c r="H120" s="24">
        <f>G120/D120</f>
        <v>0.114191359028</v>
      </c>
      <c r="I120" s="207"/>
      <c r="J120" s="175"/>
    </row>
    <row r="121" spans="1:10" s="176" customFormat="1" x14ac:dyDescent="0.25">
      <c r="A121" s="188"/>
      <c r="B121" s="190" t="s">
        <v>517</v>
      </c>
      <c r="C121" s="183" t="s">
        <v>516</v>
      </c>
      <c r="D121" s="192">
        <v>250000000</v>
      </c>
      <c r="E121" s="192"/>
      <c r="F121" s="192">
        <v>4998596</v>
      </c>
      <c r="G121" s="192">
        <f>E121+F121</f>
        <v>4998596</v>
      </c>
      <c r="H121" s="24">
        <f>G121/D121</f>
        <v>1.9994384E-2</v>
      </c>
      <c r="I121" s="207"/>
      <c r="J121" s="175"/>
    </row>
    <row r="122" spans="1:10" s="176" customFormat="1" x14ac:dyDescent="0.25">
      <c r="A122" s="188"/>
      <c r="B122" s="178"/>
      <c r="C122" s="183"/>
      <c r="D122" s="192"/>
      <c r="E122" s="192"/>
      <c r="F122" s="192"/>
      <c r="G122" s="191"/>
      <c r="H122" s="236"/>
      <c r="I122" s="207"/>
      <c r="J122" s="175"/>
    </row>
    <row r="123" spans="1:10" s="176" customFormat="1" x14ac:dyDescent="0.25">
      <c r="A123" s="168" t="s">
        <v>49</v>
      </c>
      <c r="B123" s="189" t="s">
        <v>321</v>
      </c>
      <c r="C123" s="180" t="s">
        <v>98</v>
      </c>
      <c r="D123" s="196">
        <f>D124</f>
        <v>2600000000</v>
      </c>
      <c r="E123" s="196"/>
      <c r="F123" s="196">
        <f t="shared" ref="F123:G123" si="49">F124</f>
        <v>0</v>
      </c>
      <c r="G123" s="196">
        <f t="shared" si="49"/>
        <v>0</v>
      </c>
      <c r="H123" s="236">
        <f t="shared" ref="H123:H129" si="50">G123/D123</f>
        <v>0</v>
      </c>
      <c r="I123" s="207"/>
      <c r="J123" s="175"/>
    </row>
    <row r="124" spans="1:10" s="176" customFormat="1" x14ac:dyDescent="0.25">
      <c r="A124" s="168"/>
      <c r="B124" s="189" t="s">
        <v>322</v>
      </c>
      <c r="C124" s="180" t="s">
        <v>323</v>
      </c>
      <c r="D124" s="196">
        <f>SUM(D126:D129)</f>
        <v>2600000000</v>
      </c>
      <c r="E124" s="196"/>
      <c r="F124" s="196">
        <f t="shared" ref="F124:G124" si="51">SUM(F126:F129)</f>
        <v>0</v>
      </c>
      <c r="G124" s="196">
        <f t="shared" si="51"/>
        <v>0</v>
      </c>
      <c r="H124" s="236">
        <f t="shared" si="50"/>
        <v>0</v>
      </c>
      <c r="I124" s="207"/>
      <c r="J124" s="175"/>
    </row>
    <row r="125" spans="1:10" s="176" customFormat="1" x14ac:dyDescent="0.25">
      <c r="A125" s="168"/>
      <c r="B125" s="189" t="s">
        <v>518</v>
      </c>
      <c r="C125" s="180" t="s">
        <v>323</v>
      </c>
      <c r="D125" s="196">
        <f>SUM(D126:D129)</f>
        <v>2600000000</v>
      </c>
      <c r="E125" s="196"/>
      <c r="F125" s="196">
        <f t="shared" ref="F125:G125" si="52">SUM(F126:F129)</f>
        <v>0</v>
      </c>
      <c r="G125" s="196">
        <f t="shared" si="52"/>
        <v>0</v>
      </c>
      <c r="H125" s="236">
        <f t="shared" si="50"/>
        <v>0</v>
      </c>
      <c r="I125" s="207"/>
      <c r="J125" s="175"/>
    </row>
    <row r="126" spans="1:10" s="176" customFormat="1" x14ac:dyDescent="0.25">
      <c r="A126" s="169"/>
      <c r="B126" s="177"/>
      <c r="C126" s="193" t="s">
        <v>324</v>
      </c>
      <c r="D126" s="181">
        <v>1200000000</v>
      </c>
      <c r="E126" s="181"/>
      <c r="F126" s="181"/>
      <c r="G126" s="192">
        <f>E126+F126</f>
        <v>0</v>
      </c>
      <c r="H126" s="24">
        <f t="shared" si="50"/>
        <v>0</v>
      </c>
      <c r="I126" s="207"/>
      <c r="J126" s="175"/>
    </row>
    <row r="127" spans="1:10" s="176" customFormat="1" x14ac:dyDescent="0.25">
      <c r="A127" s="169"/>
      <c r="B127" s="177"/>
      <c r="C127" s="193" t="s">
        <v>325</v>
      </c>
      <c r="D127" s="181">
        <v>600000000</v>
      </c>
      <c r="E127" s="181"/>
      <c r="F127" s="181"/>
      <c r="G127" s="192">
        <f t="shared" ref="G127:G129" si="53">E127+F127</f>
        <v>0</v>
      </c>
      <c r="H127" s="24">
        <f t="shared" si="50"/>
        <v>0</v>
      </c>
      <c r="I127" s="207"/>
      <c r="J127" s="175"/>
    </row>
    <row r="128" spans="1:10" s="176" customFormat="1" x14ac:dyDescent="0.25">
      <c r="A128" s="169"/>
      <c r="B128" s="178"/>
      <c r="C128" s="193" t="s">
        <v>578</v>
      </c>
      <c r="D128" s="181">
        <v>0</v>
      </c>
      <c r="E128" s="181"/>
      <c r="F128" s="181"/>
      <c r="G128" s="192">
        <f t="shared" si="53"/>
        <v>0</v>
      </c>
      <c r="H128" s="24" t="e">
        <f t="shared" si="50"/>
        <v>#DIV/0!</v>
      </c>
      <c r="I128" s="207"/>
      <c r="J128" s="175"/>
    </row>
    <row r="129" spans="1:10" s="176" customFormat="1" x14ac:dyDescent="0.25">
      <c r="A129" s="169"/>
      <c r="B129" s="178"/>
      <c r="C129" s="193" t="s">
        <v>326</v>
      </c>
      <c r="D129" s="181">
        <v>800000000</v>
      </c>
      <c r="E129" s="181"/>
      <c r="F129" s="181"/>
      <c r="G129" s="192">
        <f t="shared" si="53"/>
        <v>0</v>
      </c>
      <c r="H129" s="24">
        <f t="shared" si="50"/>
        <v>0</v>
      </c>
      <c r="I129" s="207"/>
      <c r="J129" s="175"/>
    </row>
    <row r="130" spans="1:10" s="176" customFormat="1" x14ac:dyDescent="0.25">
      <c r="A130" s="169"/>
      <c r="B130" s="170"/>
      <c r="C130" s="185"/>
      <c r="D130" s="191"/>
      <c r="E130" s="191"/>
      <c r="F130" s="191"/>
      <c r="G130" s="192"/>
      <c r="H130" s="24"/>
      <c r="I130" s="207"/>
      <c r="J130" s="175"/>
    </row>
    <row r="131" spans="1:10" s="176" customFormat="1" x14ac:dyDescent="0.25">
      <c r="A131" s="168" t="s">
        <v>53</v>
      </c>
      <c r="B131" s="189" t="s">
        <v>623</v>
      </c>
      <c r="C131" s="180" t="s">
        <v>626</v>
      </c>
      <c r="D131" s="196">
        <f>D132</f>
        <v>0</v>
      </c>
      <c r="E131" s="196"/>
      <c r="F131" s="196">
        <f t="shared" ref="F131:G132" si="54">F132</f>
        <v>25809001.280000001</v>
      </c>
      <c r="G131" s="196">
        <f t="shared" si="54"/>
        <v>25809001.280000001</v>
      </c>
      <c r="H131" s="236" t="e">
        <f>G131/D131</f>
        <v>#DIV/0!</v>
      </c>
      <c r="I131" s="207"/>
      <c r="J131" s="175"/>
    </row>
    <row r="132" spans="1:10" s="176" customFormat="1" x14ac:dyDescent="0.25">
      <c r="A132" s="169"/>
      <c r="B132" s="189" t="s">
        <v>624</v>
      </c>
      <c r="C132" s="180" t="s">
        <v>626</v>
      </c>
      <c r="D132" s="196">
        <f>D133</f>
        <v>0</v>
      </c>
      <c r="E132" s="196"/>
      <c r="F132" s="196">
        <f t="shared" si="54"/>
        <v>25809001.280000001</v>
      </c>
      <c r="G132" s="196">
        <f t="shared" si="54"/>
        <v>25809001.280000001</v>
      </c>
      <c r="H132" s="236" t="e">
        <f>G132/D132</f>
        <v>#DIV/0!</v>
      </c>
      <c r="I132" s="207"/>
      <c r="J132" s="175"/>
    </row>
    <row r="133" spans="1:10" s="176" customFormat="1" x14ac:dyDescent="0.25">
      <c r="A133" s="188"/>
      <c r="B133" s="190" t="s">
        <v>625</v>
      </c>
      <c r="C133" s="33" t="s">
        <v>626</v>
      </c>
      <c r="D133" s="181">
        <v>0</v>
      </c>
      <c r="E133" s="181"/>
      <c r="F133" s="181">
        <v>25809001.280000001</v>
      </c>
      <c r="G133" s="181">
        <f>E133+F133</f>
        <v>25809001.280000001</v>
      </c>
      <c r="H133" s="24" t="e">
        <f>G133/D133</f>
        <v>#DIV/0!</v>
      </c>
      <c r="I133" s="207"/>
      <c r="J133" s="175"/>
    </row>
    <row r="134" spans="1:10" s="176" customFormat="1" x14ac:dyDescent="0.25">
      <c r="A134" s="169"/>
      <c r="B134" s="177"/>
      <c r="C134" s="193"/>
      <c r="D134" s="181"/>
      <c r="E134" s="181"/>
      <c r="F134" s="181"/>
      <c r="G134" s="192"/>
      <c r="H134" s="24"/>
      <c r="I134" s="207"/>
      <c r="J134" s="175"/>
    </row>
    <row r="135" spans="1:10" s="176" customFormat="1" x14ac:dyDescent="0.25">
      <c r="A135" s="168" t="s">
        <v>62</v>
      </c>
      <c r="B135" s="179" t="s">
        <v>99</v>
      </c>
      <c r="C135" s="180" t="s">
        <v>100</v>
      </c>
      <c r="D135" s="191">
        <v>0</v>
      </c>
      <c r="E135" s="191"/>
      <c r="F135" s="191">
        <v>0</v>
      </c>
      <c r="G135" s="191">
        <f>E135+F135</f>
        <v>0</v>
      </c>
      <c r="H135" s="236"/>
      <c r="I135" s="207"/>
      <c r="J135" s="175"/>
    </row>
    <row r="136" spans="1:10" s="176" customFormat="1" x14ac:dyDescent="0.25">
      <c r="A136" s="169"/>
      <c r="B136" s="170"/>
      <c r="C136" s="185"/>
      <c r="D136" s="191"/>
      <c r="E136" s="191"/>
      <c r="F136" s="191"/>
      <c r="G136" s="191"/>
      <c r="H136" s="236"/>
      <c r="I136" s="207"/>
      <c r="J136" s="175"/>
    </row>
    <row r="137" spans="1:10" s="176" customFormat="1" x14ac:dyDescent="0.25">
      <c r="A137" s="168" t="s">
        <v>66</v>
      </c>
      <c r="B137" s="189" t="s">
        <v>328</v>
      </c>
      <c r="C137" s="180" t="s">
        <v>101</v>
      </c>
      <c r="D137" s="191">
        <f>SUM(D138:D148)</f>
        <v>0</v>
      </c>
      <c r="E137" s="191"/>
      <c r="F137" s="191">
        <f t="shared" ref="F137:G137" si="55">SUM(F138:F148)</f>
        <v>25996131</v>
      </c>
      <c r="G137" s="191">
        <f t="shared" si="55"/>
        <v>25996131</v>
      </c>
      <c r="H137" s="236" t="e">
        <f t="shared" ref="H137:H145" si="56">G137/D137</f>
        <v>#DIV/0!</v>
      </c>
      <c r="I137" s="207"/>
      <c r="J137" s="175"/>
    </row>
    <row r="138" spans="1:10" s="176" customFormat="1" x14ac:dyDescent="0.25">
      <c r="A138" s="188"/>
      <c r="B138" s="190" t="s">
        <v>329</v>
      </c>
      <c r="C138" s="33" t="s">
        <v>102</v>
      </c>
      <c r="D138" s="192"/>
      <c r="E138" s="192"/>
      <c r="F138" s="192">
        <f>6707264+108300</f>
        <v>6815564</v>
      </c>
      <c r="G138" s="192">
        <f>E138+F138</f>
        <v>6815564</v>
      </c>
      <c r="H138" s="24" t="e">
        <f t="shared" si="56"/>
        <v>#DIV/0!</v>
      </c>
      <c r="I138" s="207"/>
      <c r="J138" s="175"/>
    </row>
    <row r="139" spans="1:10" s="176" customFormat="1" x14ac:dyDescent="0.25">
      <c r="A139" s="188"/>
      <c r="B139" s="190" t="s">
        <v>330</v>
      </c>
      <c r="C139" s="33" t="s">
        <v>103</v>
      </c>
      <c r="D139" s="192"/>
      <c r="E139" s="192"/>
      <c r="F139" s="192">
        <f>3115884-108300</f>
        <v>3007584</v>
      </c>
      <c r="G139" s="192">
        <f t="shared" ref="G139:G147" si="57">E139+F139</f>
        <v>3007584</v>
      </c>
      <c r="H139" s="24" t="e">
        <f t="shared" si="56"/>
        <v>#DIV/0!</v>
      </c>
      <c r="I139" s="207"/>
      <c r="J139" s="175"/>
    </row>
    <row r="140" spans="1:10" s="176" customFormat="1" x14ac:dyDescent="0.25">
      <c r="A140" s="188"/>
      <c r="B140" s="190" t="s">
        <v>331</v>
      </c>
      <c r="C140" s="33" t="s">
        <v>104</v>
      </c>
      <c r="D140" s="192"/>
      <c r="E140" s="192"/>
      <c r="F140" s="192">
        <v>4466533</v>
      </c>
      <c r="G140" s="192">
        <f t="shared" si="57"/>
        <v>4466533</v>
      </c>
      <c r="H140" s="24" t="e">
        <f t="shared" si="56"/>
        <v>#DIV/0!</v>
      </c>
      <c r="I140" s="207"/>
      <c r="J140" s="175"/>
    </row>
    <row r="141" spans="1:10" s="176" customFormat="1" x14ac:dyDescent="0.25">
      <c r="A141" s="188"/>
      <c r="B141" s="190" t="s">
        <v>332</v>
      </c>
      <c r="C141" s="33" t="s">
        <v>105</v>
      </c>
      <c r="D141" s="192"/>
      <c r="E141" s="192"/>
      <c r="F141" s="192">
        <v>189713</v>
      </c>
      <c r="G141" s="192">
        <f t="shared" si="57"/>
        <v>189713</v>
      </c>
      <c r="H141" s="24" t="e">
        <f t="shared" si="56"/>
        <v>#DIV/0!</v>
      </c>
      <c r="I141" s="207"/>
      <c r="J141" s="175"/>
    </row>
    <row r="142" spans="1:10" s="176" customFormat="1" x14ac:dyDescent="0.25">
      <c r="A142" s="188"/>
      <c r="B142" s="190" t="s">
        <v>333</v>
      </c>
      <c r="C142" s="33" t="s">
        <v>106</v>
      </c>
      <c r="D142" s="192"/>
      <c r="E142" s="192"/>
      <c r="F142" s="192">
        <v>390543</v>
      </c>
      <c r="G142" s="192">
        <f t="shared" si="57"/>
        <v>390543</v>
      </c>
      <c r="H142" s="24" t="e">
        <f t="shared" si="56"/>
        <v>#DIV/0!</v>
      </c>
      <c r="I142" s="207"/>
      <c r="J142" s="175"/>
    </row>
    <row r="143" spans="1:10" s="176" customFormat="1" x14ac:dyDescent="0.25">
      <c r="A143" s="188"/>
      <c r="B143" s="190" t="s">
        <v>334</v>
      </c>
      <c r="C143" s="33" t="s">
        <v>107</v>
      </c>
      <c r="D143" s="192"/>
      <c r="E143" s="192"/>
      <c r="F143" s="192">
        <v>1357974</v>
      </c>
      <c r="G143" s="192">
        <f t="shared" si="57"/>
        <v>1357974</v>
      </c>
      <c r="H143" s="24" t="e">
        <f t="shared" si="56"/>
        <v>#DIV/0!</v>
      </c>
      <c r="I143" s="207"/>
      <c r="J143" s="175"/>
    </row>
    <row r="144" spans="1:10" s="176" customFormat="1" x14ac:dyDescent="0.25">
      <c r="A144" s="188"/>
      <c r="B144" s="190" t="s">
        <v>335</v>
      </c>
      <c r="C144" s="33" t="s">
        <v>108</v>
      </c>
      <c r="D144" s="192"/>
      <c r="E144" s="192"/>
      <c r="F144" s="192">
        <v>52752</v>
      </c>
      <c r="G144" s="192">
        <f t="shared" si="57"/>
        <v>52752</v>
      </c>
      <c r="H144" s="24" t="e">
        <f t="shared" si="56"/>
        <v>#DIV/0!</v>
      </c>
      <c r="I144" s="207"/>
      <c r="J144" s="175"/>
    </row>
    <row r="145" spans="1:10" s="176" customFormat="1" x14ac:dyDescent="0.25">
      <c r="A145" s="188"/>
      <c r="B145" s="190" t="s">
        <v>336</v>
      </c>
      <c r="C145" s="33" t="s">
        <v>109</v>
      </c>
      <c r="D145" s="192"/>
      <c r="E145" s="192"/>
      <c r="F145" s="192">
        <v>566410</v>
      </c>
      <c r="G145" s="192">
        <f t="shared" si="57"/>
        <v>566410</v>
      </c>
      <c r="H145" s="24" t="e">
        <f t="shared" si="56"/>
        <v>#DIV/0!</v>
      </c>
      <c r="I145" s="207"/>
      <c r="J145" s="175"/>
    </row>
    <row r="146" spans="1:10" s="176" customFormat="1" x14ac:dyDescent="0.25">
      <c r="A146" s="188"/>
      <c r="B146" s="190" t="s">
        <v>484</v>
      </c>
      <c r="C146" s="33" t="s">
        <v>482</v>
      </c>
      <c r="D146" s="192"/>
      <c r="E146" s="192"/>
      <c r="F146" s="192"/>
      <c r="G146" s="192">
        <f t="shared" si="57"/>
        <v>0</v>
      </c>
      <c r="H146" s="24"/>
      <c r="I146" s="207"/>
      <c r="J146" s="175"/>
    </row>
    <row r="147" spans="1:10" s="176" customFormat="1" x14ac:dyDescent="0.25">
      <c r="A147" s="188"/>
      <c r="B147" s="190" t="s">
        <v>337</v>
      </c>
      <c r="C147" s="33" t="s">
        <v>110</v>
      </c>
      <c r="D147" s="192"/>
      <c r="E147" s="192"/>
      <c r="F147" s="192">
        <v>9149058</v>
      </c>
      <c r="G147" s="192">
        <f t="shared" si="57"/>
        <v>9149058</v>
      </c>
      <c r="H147" s="24" t="e">
        <f>G147/D147</f>
        <v>#DIV/0!</v>
      </c>
      <c r="I147" s="207"/>
      <c r="J147" s="175"/>
    </row>
    <row r="148" spans="1:10" s="176" customFormat="1" x14ac:dyDescent="0.25">
      <c r="A148" s="188"/>
      <c r="B148" s="190" t="s">
        <v>485</v>
      </c>
      <c r="C148" s="33" t="s">
        <v>483</v>
      </c>
      <c r="D148" s="192">
        <v>0</v>
      </c>
      <c r="E148" s="192"/>
      <c r="F148" s="192"/>
      <c r="G148" s="192">
        <f>F148-D148</f>
        <v>0</v>
      </c>
      <c r="H148" s="24" t="e">
        <f>G148/D148</f>
        <v>#DIV/0!</v>
      </c>
      <c r="I148" s="207"/>
      <c r="J148" s="175"/>
    </row>
    <row r="149" spans="1:10" s="176" customFormat="1" x14ac:dyDescent="0.25">
      <c r="A149" s="169"/>
      <c r="B149" s="170"/>
      <c r="C149" s="180"/>
      <c r="D149" s="191"/>
      <c r="E149" s="191"/>
      <c r="F149" s="191"/>
      <c r="G149" s="191"/>
      <c r="H149" s="24"/>
      <c r="I149" s="207"/>
      <c r="J149" s="175"/>
    </row>
    <row r="150" spans="1:10" s="176" customFormat="1" x14ac:dyDescent="0.25">
      <c r="A150" s="168" t="s">
        <v>73</v>
      </c>
      <c r="B150" s="189" t="s">
        <v>327</v>
      </c>
      <c r="C150" s="185" t="s">
        <v>111</v>
      </c>
      <c r="D150" s="191"/>
      <c r="E150" s="191"/>
      <c r="F150" s="191"/>
      <c r="G150" s="191"/>
      <c r="H150" s="236" t="e">
        <f t="shared" ref="H150" si="58">G150/D150</f>
        <v>#DIV/0!</v>
      </c>
      <c r="I150" s="207"/>
      <c r="J150" s="175"/>
    </row>
    <row r="151" spans="1:10" s="176" customFormat="1" x14ac:dyDescent="0.25">
      <c r="A151" s="169"/>
      <c r="B151" s="170"/>
      <c r="C151" s="185"/>
      <c r="D151" s="191"/>
      <c r="E151" s="191"/>
      <c r="F151" s="191"/>
      <c r="G151" s="191"/>
      <c r="H151" s="236"/>
      <c r="I151" s="207"/>
      <c r="J151" s="175"/>
    </row>
    <row r="152" spans="1:10" s="176" customFormat="1" x14ac:dyDescent="0.25">
      <c r="A152" s="168" t="s">
        <v>74</v>
      </c>
      <c r="B152" s="189" t="s">
        <v>338</v>
      </c>
      <c r="C152" s="34" t="s">
        <v>339</v>
      </c>
      <c r="D152" s="191">
        <f>D153+D156</f>
        <v>0</v>
      </c>
      <c r="E152" s="191"/>
      <c r="F152" s="191">
        <f t="shared" ref="F152:G152" si="59">F153+F156</f>
        <v>2681800</v>
      </c>
      <c r="G152" s="191">
        <f t="shared" si="59"/>
        <v>2681800</v>
      </c>
      <c r="H152" s="277" t="e">
        <f>G152/D152</f>
        <v>#DIV/0!</v>
      </c>
      <c r="I152" s="207"/>
      <c r="J152" s="175"/>
    </row>
    <row r="153" spans="1:10" s="176" customFormat="1" x14ac:dyDescent="0.25">
      <c r="A153" s="169"/>
      <c r="B153" s="189" t="s">
        <v>596</v>
      </c>
      <c r="C153" s="180" t="s">
        <v>598</v>
      </c>
      <c r="D153" s="191">
        <f>D154</f>
        <v>0</v>
      </c>
      <c r="E153" s="191"/>
      <c r="F153" s="191">
        <f t="shared" ref="F153:G153" si="60">F154</f>
        <v>0</v>
      </c>
      <c r="G153" s="191">
        <f t="shared" si="60"/>
        <v>0</v>
      </c>
      <c r="H153" s="277" t="e">
        <f>G153/D153</f>
        <v>#DIV/0!</v>
      </c>
      <c r="I153" s="207"/>
      <c r="J153" s="175"/>
    </row>
    <row r="154" spans="1:10" s="176" customFormat="1" x14ac:dyDescent="0.25">
      <c r="A154" s="169"/>
      <c r="B154" s="190" t="s">
        <v>597</v>
      </c>
      <c r="C154" s="33" t="s">
        <v>598</v>
      </c>
      <c r="D154" s="192">
        <v>0</v>
      </c>
      <c r="E154" s="192"/>
      <c r="F154" s="192"/>
      <c r="G154" s="192">
        <f>E154+F154</f>
        <v>0</v>
      </c>
      <c r="H154" s="278" t="e">
        <f>G154/D154</f>
        <v>#DIV/0!</v>
      </c>
      <c r="I154" s="207"/>
      <c r="J154" s="175"/>
    </row>
    <row r="155" spans="1:10" s="176" customFormat="1" x14ac:dyDescent="0.25">
      <c r="A155" s="169"/>
      <c r="B155" s="170"/>
      <c r="C155" s="180"/>
      <c r="D155" s="191"/>
      <c r="E155" s="191"/>
      <c r="F155" s="191"/>
      <c r="G155" s="191"/>
      <c r="H155" s="277"/>
      <c r="I155" s="207"/>
      <c r="J155" s="175"/>
    </row>
    <row r="156" spans="1:10" s="176" customFormat="1" x14ac:dyDescent="0.25">
      <c r="A156" s="169"/>
      <c r="B156" s="189" t="s">
        <v>599</v>
      </c>
      <c r="C156" s="180" t="s">
        <v>601</v>
      </c>
      <c r="D156" s="191">
        <f>D157</f>
        <v>0</v>
      </c>
      <c r="E156" s="191"/>
      <c r="F156" s="191">
        <f t="shared" ref="F156:G156" si="61">F157</f>
        <v>2681800</v>
      </c>
      <c r="G156" s="191">
        <f t="shared" si="61"/>
        <v>2681800</v>
      </c>
      <c r="H156" s="277" t="e">
        <f>G156/D156</f>
        <v>#DIV/0!</v>
      </c>
      <c r="I156" s="207"/>
      <c r="J156" s="175"/>
    </row>
    <row r="157" spans="1:10" s="176" customFormat="1" x14ac:dyDescent="0.25">
      <c r="A157" s="169"/>
      <c r="B157" s="190" t="s">
        <v>600</v>
      </c>
      <c r="C157" s="33" t="s">
        <v>601</v>
      </c>
      <c r="D157" s="192">
        <v>0</v>
      </c>
      <c r="E157" s="192"/>
      <c r="F157" s="192">
        <v>2681800</v>
      </c>
      <c r="G157" s="192">
        <f>E157+F157</f>
        <v>2681800</v>
      </c>
      <c r="H157" s="278" t="e">
        <f>G157/D157</f>
        <v>#DIV/0!</v>
      </c>
      <c r="I157" s="207"/>
      <c r="J157" s="175"/>
    </row>
    <row r="158" spans="1:10" s="176" customFormat="1" x14ac:dyDescent="0.25">
      <c r="A158" s="169"/>
      <c r="B158" s="190"/>
      <c r="C158" s="33"/>
      <c r="D158" s="192"/>
      <c r="E158" s="192"/>
      <c r="F158" s="192"/>
      <c r="G158" s="192"/>
      <c r="H158" s="278"/>
      <c r="I158" s="207"/>
      <c r="J158" s="175"/>
    </row>
    <row r="159" spans="1:10" s="176" customFormat="1" x14ac:dyDescent="0.25">
      <c r="A159" s="168" t="s">
        <v>81</v>
      </c>
      <c r="B159" s="22" t="s">
        <v>306</v>
      </c>
      <c r="C159" s="185" t="s">
        <v>75</v>
      </c>
      <c r="D159" s="196">
        <f>D160</f>
        <v>122100000000</v>
      </c>
      <c r="E159" s="196"/>
      <c r="F159" s="196">
        <f t="shared" ref="F159:G160" si="62">F160</f>
        <v>6714847852</v>
      </c>
      <c r="G159" s="196">
        <f t="shared" si="62"/>
        <v>6714847852</v>
      </c>
      <c r="H159" s="236">
        <f t="shared" ref="H159:H191" si="63">G159/D159</f>
        <v>5.49946589025389E-2</v>
      </c>
      <c r="I159" s="207" t="s">
        <v>112</v>
      </c>
      <c r="J159" s="175"/>
    </row>
    <row r="160" spans="1:10" s="176" customFormat="1" x14ac:dyDescent="0.25">
      <c r="A160" s="168"/>
      <c r="B160" s="189" t="s">
        <v>340</v>
      </c>
      <c r="C160" s="185" t="s">
        <v>341</v>
      </c>
      <c r="D160" s="196">
        <f>D161</f>
        <v>122100000000</v>
      </c>
      <c r="E160" s="196"/>
      <c r="F160" s="196">
        <f t="shared" si="62"/>
        <v>6714847852</v>
      </c>
      <c r="G160" s="196">
        <f t="shared" si="62"/>
        <v>6714847852</v>
      </c>
      <c r="H160" s="236">
        <f t="shared" si="63"/>
        <v>5.49946589025389E-2</v>
      </c>
      <c r="I160" s="207"/>
      <c r="J160" s="175"/>
    </row>
    <row r="161" spans="1:10" s="176" customFormat="1" x14ac:dyDescent="0.25">
      <c r="A161" s="188"/>
      <c r="B161" s="178"/>
      <c r="C161" s="185" t="s">
        <v>113</v>
      </c>
      <c r="D161" s="191">
        <f>D162+D169+D175+D178+D182+D185+D188+D191+D195</f>
        <v>122100000000</v>
      </c>
      <c r="E161" s="191"/>
      <c r="F161" s="191">
        <f t="shared" ref="F161:G161" si="64">F162+F169+F175+F178+F182+F185+F188+F191+F195</f>
        <v>6714847852</v>
      </c>
      <c r="G161" s="191">
        <f t="shared" si="64"/>
        <v>6714847852</v>
      </c>
      <c r="H161" s="236">
        <f t="shared" si="63"/>
        <v>5.49946589025389E-2</v>
      </c>
      <c r="I161" s="207" t="s">
        <v>114</v>
      </c>
      <c r="J161" s="175"/>
    </row>
    <row r="162" spans="1:10" s="176" customFormat="1" x14ac:dyDescent="0.25">
      <c r="A162" s="188"/>
      <c r="B162" s="178"/>
      <c r="C162" s="35" t="s">
        <v>115</v>
      </c>
      <c r="D162" s="191">
        <f>SUM(D163:D168)</f>
        <v>10327224000</v>
      </c>
      <c r="E162" s="191"/>
      <c r="F162" s="191">
        <f t="shared" ref="F162:G162" si="65">SUM(F163:F168)</f>
        <v>830718905</v>
      </c>
      <c r="G162" s="191">
        <f t="shared" si="65"/>
        <v>830718905</v>
      </c>
      <c r="H162" s="236">
        <f t="shared" si="63"/>
        <v>8.0439710129266109E-2</v>
      </c>
      <c r="I162" s="207"/>
      <c r="J162" s="175"/>
    </row>
    <row r="163" spans="1:10" s="176" customFormat="1" x14ac:dyDescent="0.25">
      <c r="A163" s="188"/>
      <c r="B163" s="178"/>
      <c r="C163" s="171" t="s">
        <v>116</v>
      </c>
      <c r="D163" s="192">
        <v>794144000</v>
      </c>
      <c r="E163" s="192"/>
      <c r="F163" s="192">
        <v>54099572</v>
      </c>
      <c r="G163" s="192">
        <f>E163+F163</f>
        <v>54099572</v>
      </c>
      <c r="H163" s="24">
        <f t="shared" si="63"/>
        <v>6.8123126284401828E-2</v>
      </c>
      <c r="I163" s="207"/>
      <c r="J163" s="175"/>
    </row>
    <row r="164" spans="1:10" s="176" customFormat="1" x14ac:dyDescent="0.25">
      <c r="A164" s="188"/>
      <c r="B164" s="178"/>
      <c r="C164" s="171" t="s">
        <v>117</v>
      </c>
      <c r="D164" s="192">
        <v>1454000000</v>
      </c>
      <c r="E164" s="192"/>
      <c r="F164" s="192">
        <v>209094050</v>
      </c>
      <c r="G164" s="192">
        <f t="shared" ref="G164:G168" si="66">E164+F164</f>
        <v>209094050</v>
      </c>
      <c r="H164" s="24">
        <f t="shared" si="63"/>
        <v>0.14380608665749656</v>
      </c>
      <c r="I164" s="207"/>
      <c r="J164" s="175"/>
    </row>
    <row r="165" spans="1:10" s="176" customFormat="1" x14ac:dyDescent="0.25">
      <c r="A165" s="188"/>
      <c r="B165" s="178"/>
      <c r="C165" s="171" t="s">
        <v>118</v>
      </c>
      <c r="D165" s="192">
        <v>4535600000</v>
      </c>
      <c r="E165" s="192"/>
      <c r="F165" s="192">
        <v>297259411</v>
      </c>
      <c r="G165" s="192">
        <f t="shared" si="66"/>
        <v>297259411</v>
      </c>
      <c r="H165" s="24">
        <f t="shared" si="63"/>
        <v>6.553915931740012E-2</v>
      </c>
      <c r="I165" s="207"/>
      <c r="J165" s="175"/>
    </row>
    <row r="166" spans="1:10" s="176" customFormat="1" x14ac:dyDescent="0.25">
      <c r="A166" s="188"/>
      <c r="B166" s="178"/>
      <c r="C166" s="171" t="s">
        <v>119</v>
      </c>
      <c r="D166" s="192">
        <v>2388980000</v>
      </c>
      <c r="E166" s="192"/>
      <c r="F166" s="192">
        <v>116298000</v>
      </c>
      <c r="G166" s="192">
        <f t="shared" si="66"/>
        <v>116298000</v>
      </c>
      <c r="H166" s="24">
        <f t="shared" si="63"/>
        <v>4.8681027049200916E-2</v>
      </c>
      <c r="I166" s="207"/>
      <c r="J166" s="175"/>
    </row>
    <row r="167" spans="1:10" s="176" customFormat="1" x14ac:dyDescent="0.25">
      <c r="A167" s="188"/>
      <c r="B167" s="178"/>
      <c r="C167" s="171" t="s">
        <v>120</v>
      </c>
      <c r="D167" s="192">
        <v>51200000</v>
      </c>
      <c r="E167" s="192"/>
      <c r="F167" s="192">
        <v>4680000</v>
      </c>
      <c r="G167" s="192">
        <f t="shared" si="66"/>
        <v>4680000</v>
      </c>
      <c r="H167" s="24">
        <f t="shared" si="63"/>
        <v>9.1406249999999994E-2</v>
      </c>
      <c r="I167" s="207"/>
      <c r="J167" s="175"/>
    </row>
    <row r="168" spans="1:10" s="176" customFormat="1" x14ac:dyDescent="0.25">
      <c r="A168" s="188"/>
      <c r="B168" s="178"/>
      <c r="C168" s="171" t="s">
        <v>121</v>
      </c>
      <c r="D168" s="192">
        <v>1103300000</v>
      </c>
      <c r="E168" s="192"/>
      <c r="F168" s="192">
        <v>149287872</v>
      </c>
      <c r="G168" s="192">
        <f t="shared" si="66"/>
        <v>149287872</v>
      </c>
      <c r="H168" s="24">
        <f t="shared" si="63"/>
        <v>0.13531031632375601</v>
      </c>
      <c r="I168" s="207"/>
      <c r="J168" s="175"/>
    </row>
    <row r="169" spans="1:10" s="176" customFormat="1" x14ac:dyDescent="0.25">
      <c r="A169" s="188"/>
      <c r="B169" s="178"/>
      <c r="C169" s="185" t="s">
        <v>122</v>
      </c>
      <c r="D169" s="191">
        <f>SUM(D170:D174)</f>
        <v>71738434000</v>
      </c>
      <c r="E169" s="191"/>
      <c r="F169" s="191">
        <f t="shared" ref="F169:G169" si="67">SUM(F170:F174)</f>
        <v>5550189658</v>
      </c>
      <c r="G169" s="191">
        <f t="shared" si="67"/>
        <v>5550189658</v>
      </c>
      <c r="H169" s="236">
        <f t="shared" si="63"/>
        <v>7.7367031150972709E-2</v>
      </c>
      <c r="I169" s="207"/>
      <c r="J169" s="175"/>
    </row>
    <row r="170" spans="1:10" s="176" customFormat="1" x14ac:dyDescent="0.25">
      <c r="A170" s="188"/>
      <c r="B170" s="178"/>
      <c r="C170" s="171" t="s">
        <v>117</v>
      </c>
      <c r="D170" s="192">
        <v>19459500000</v>
      </c>
      <c r="E170" s="192"/>
      <c r="F170" s="192">
        <v>2104828700</v>
      </c>
      <c r="G170" s="192">
        <f>E170+F170</f>
        <v>2104828700</v>
      </c>
      <c r="H170" s="24">
        <f t="shared" si="63"/>
        <v>0.10816458285156351</v>
      </c>
      <c r="I170" s="207"/>
      <c r="J170" s="175"/>
    </row>
    <row r="171" spans="1:10" s="176" customFormat="1" x14ac:dyDescent="0.25">
      <c r="A171" s="188"/>
      <c r="B171" s="178"/>
      <c r="C171" s="171" t="s">
        <v>118</v>
      </c>
      <c r="D171" s="192">
        <v>49831374000</v>
      </c>
      <c r="E171" s="192"/>
      <c r="F171" s="192">
        <v>2968835800</v>
      </c>
      <c r="G171" s="192">
        <f t="shared" ref="G171:G174" si="68">E171+F171</f>
        <v>2968835800</v>
      </c>
      <c r="H171" s="24">
        <f t="shared" si="63"/>
        <v>5.9577642791868432E-2</v>
      </c>
      <c r="I171" s="207"/>
      <c r="J171" s="175"/>
    </row>
    <row r="172" spans="1:10" s="176" customFormat="1" x14ac:dyDescent="0.25">
      <c r="A172" s="188"/>
      <c r="B172" s="178"/>
      <c r="C172" s="171" t="s">
        <v>123</v>
      </c>
      <c r="D172" s="192">
        <v>227620000</v>
      </c>
      <c r="E172" s="192"/>
      <c r="F172" s="192">
        <v>52750000</v>
      </c>
      <c r="G172" s="192">
        <f t="shared" si="68"/>
        <v>52750000</v>
      </c>
      <c r="H172" s="24">
        <f t="shared" si="63"/>
        <v>0.23174589227660136</v>
      </c>
      <c r="I172" s="207"/>
      <c r="J172" s="175"/>
    </row>
    <row r="173" spans="1:10" s="176" customFormat="1" x14ac:dyDescent="0.25">
      <c r="A173" s="188"/>
      <c r="B173" s="178"/>
      <c r="C173" s="171" t="s">
        <v>124</v>
      </c>
      <c r="D173" s="192">
        <v>2087340000</v>
      </c>
      <c r="E173" s="192"/>
      <c r="F173" s="192">
        <v>423775158</v>
      </c>
      <c r="G173" s="192">
        <f t="shared" si="68"/>
        <v>423775158</v>
      </c>
      <c r="H173" s="24">
        <f t="shared" si="63"/>
        <v>0.20302162465147031</v>
      </c>
      <c r="I173" s="207"/>
      <c r="J173" s="175"/>
    </row>
    <row r="174" spans="1:10" s="176" customFormat="1" x14ac:dyDescent="0.25">
      <c r="A174" s="188"/>
      <c r="B174" s="178"/>
      <c r="C174" s="171" t="s">
        <v>120</v>
      </c>
      <c r="D174" s="192">
        <v>132600000</v>
      </c>
      <c r="E174" s="192"/>
      <c r="F174" s="192">
        <v>0</v>
      </c>
      <c r="G174" s="192">
        <f t="shared" si="68"/>
        <v>0</v>
      </c>
      <c r="H174" s="24">
        <f t="shared" si="63"/>
        <v>0</v>
      </c>
      <c r="I174" s="207"/>
      <c r="J174" s="175"/>
    </row>
    <row r="175" spans="1:10" s="176" customFormat="1" x14ac:dyDescent="0.25">
      <c r="A175" s="188"/>
      <c r="B175" s="178"/>
      <c r="C175" s="185" t="s">
        <v>125</v>
      </c>
      <c r="D175" s="191">
        <f>SUM(D176:D177)</f>
        <v>31531500000</v>
      </c>
      <c r="E175" s="191"/>
      <c r="F175" s="191">
        <f t="shared" ref="F175:G175" si="69">SUM(F176:F177)</f>
        <v>0</v>
      </c>
      <c r="G175" s="191">
        <f t="shared" si="69"/>
        <v>0</v>
      </c>
      <c r="H175" s="236">
        <f t="shared" si="63"/>
        <v>0</v>
      </c>
      <c r="I175" s="207"/>
      <c r="J175" s="175"/>
    </row>
    <row r="176" spans="1:10" s="176" customFormat="1" x14ac:dyDescent="0.25">
      <c r="A176" s="188"/>
      <c r="B176" s="178"/>
      <c r="C176" s="171" t="s">
        <v>117</v>
      </c>
      <c r="D176" s="192">
        <v>31500000</v>
      </c>
      <c r="E176" s="192"/>
      <c r="F176" s="192"/>
      <c r="G176" s="192">
        <f>E176+F176</f>
        <v>0</v>
      </c>
      <c r="H176" s="24">
        <f t="shared" si="63"/>
        <v>0</v>
      </c>
      <c r="I176" s="207"/>
      <c r="J176" s="175"/>
    </row>
    <row r="177" spans="1:10" s="176" customFormat="1" x14ac:dyDescent="0.25">
      <c r="A177" s="188"/>
      <c r="B177" s="178"/>
      <c r="C177" s="171" t="s">
        <v>118</v>
      </c>
      <c r="D177" s="192">
        <v>31500000000</v>
      </c>
      <c r="E177" s="192"/>
      <c r="F177" s="192"/>
      <c r="G177" s="192">
        <f>E177+F177</f>
        <v>0</v>
      </c>
      <c r="H177" s="24">
        <f t="shared" si="63"/>
        <v>0</v>
      </c>
      <c r="I177" s="207"/>
      <c r="J177" s="175"/>
    </row>
    <row r="178" spans="1:10" s="176" customFormat="1" x14ac:dyDescent="0.25">
      <c r="A178" s="188"/>
      <c r="B178" s="178"/>
      <c r="C178" s="185" t="s">
        <v>126</v>
      </c>
      <c r="D178" s="191">
        <f>SUM(D179:D181)</f>
        <v>3381016000</v>
      </c>
      <c r="E178" s="191"/>
      <c r="F178" s="191">
        <f t="shared" ref="F178:G178" si="70">SUM(F179:F181)</f>
        <v>158600020</v>
      </c>
      <c r="G178" s="191">
        <f t="shared" si="70"/>
        <v>158600020</v>
      </c>
      <c r="H178" s="236">
        <f t="shared" si="63"/>
        <v>4.6908982388725755E-2</v>
      </c>
      <c r="I178" s="207"/>
      <c r="J178" s="175"/>
    </row>
    <row r="179" spans="1:10" s="176" customFormat="1" x14ac:dyDescent="0.25">
      <c r="A179" s="188"/>
      <c r="B179" s="178"/>
      <c r="C179" s="171" t="s">
        <v>117</v>
      </c>
      <c r="D179" s="192">
        <v>644736000</v>
      </c>
      <c r="E179" s="192"/>
      <c r="F179" s="192">
        <v>22223331</v>
      </c>
      <c r="G179" s="192">
        <f>E179+F179</f>
        <v>22223331</v>
      </c>
      <c r="H179" s="24">
        <f t="shared" si="63"/>
        <v>3.4468884938951755E-2</v>
      </c>
      <c r="I179" s="207" t="s">
        <v>127</v>
      </c>
      <c r="J179" s="175"/>
    </row>
    <row r="180" spans="1:10" s="176" customFormat="1" x14ac:dyDescent="0.25">
      <c r="A180" s="188"/>
      <c r="B180" s="178"/>
      <c r="C180" s="171" t="s">
        <v>118</v>
      </c>
      <c r="D180" s="192">
        <v>2080780000</v>
      </c>
      <c r="E180" s="192"/>
      <c r="F180" s="192">
        <v>121660829</v>
      </c>
      <c r="G180" s="192">
        <f t="shared" ref="G180:G181" si="71">E180+F180</f>
        <v>121660829</v>
      </c>
      <c r="H180" s="24">
        <f t="shared" si="63"/>
        <v>5.8468857351570085E-2</v>
      </c>
      <c r="I180" s="207"/>
      <c r="J180" s="175"/>
    </row>
    <row r="181" spans="1:10" s="176" customFormat="1" x14ac:dyDescent="0.25">
      <c r="A181" s="188"/>
      <c r="B181" s="178"/>
      <c r="C181" s="171" t="s">
        <v>128</v>
      </c>
      <c r="D181" s="192">
        <v>655500000</v>
      </c>
      <c r="E181" s="192"/>
      <c r="F181" s="192">
        <v>14715860</v>
      </c>
      <c r="G181" s="192">
        <f t="shared" si="71"/>
        <v>14715860</v>
      </c>
      <c r="H181" s="24">
        <f t="shared" si="63"/>
        <v>2.2449824561403507E-2</v>
      </c>
      <c r="I181" s="207"/>
      <c r="J181" s="175"/>
    </row>
    <row r="182" spans="1:10" s="176" customFormat="1" x14ac:dyDescent="0.25">
      <c r="A182" s="169"/>
      <c r="B182" s="178"/>
      <c r="C182" s="185" t="s">
        <v>129</v>
      </c>
      <c r="D182" s="191">
        <f>SUM(D183:D184)</f>
        <v>3861588000</v>
      </c>
      <c r="E182" s="191"/>
      <c r="F182" s="191">
        <f t="shared" ref="F182:G182" si="72">SUM(F183:F184)</f>
        <v>0</v>
      </c>
      <c r="G182" s="191">
        <f t="shared" si="72"/>
        <v>0</v>
      </c>
      <c r="H182" s="236">
        <f t="shared" si="63"/>
        <v>0</v>
      </c>
      <c r="I182" s="207"/>
      <c r="J182" s="175"/>
    </row>
    <row r="183" spans="1:10" s="176" customFormat="1" x14ac:dyDescent="0.25">
      <c r="A183" s="188"/>
      <c r="B183" s="178"/>
      <c r="C183" s="171" t="s">
        <v>117</v>
      </c>
      <c r="D183" s="192">
        <v>60588000</v>
      </c>
      <c r="E183" s="192"/>
      <c r="F183" s="192"/>
      <c r="G183" s="192">
        <f>E183+F183</f>
        <v>0</v>
      </c>
      <c r="H183" s="24">
        <f t="shared" si="63"/>
        <v>0</v>
      </c>
      <c r="I183" s="207"/>
      <c r="J183" s="175"/>
    </row>
    <row r="184" spans="1:10" s="176" customFormat="1" x14ac:dyDescent="0.25">
      <c r="A184" s="188"/>
      <c r="B184" s="178"/>
      <c r="C184" s="171" t="s">
        <v>118</v>
      </c>
      <c r="D184" s="192">
        <v>3801000000</v>
      </c>
      <c r="E184" s="192"/>
      <c r="F184" s="192"/>
      <c r="G184" s="192">
        <f>E184+F184</f>
        <v>0</v>
      </c>
      <c r="H184" s="24">
        <f t="shared" si="63"/>
        <v>0</v>
      </c>
      <c r="I184" s="207"/>
      <c r="J184" s="175"/>
    </row>
    <row r="185" spans="1:10" s="176" customFormat="1" x14ac:dyDescent="0.25">
      <c r="A185" s="188"/>
      <c r="B185" s="178"/>
      <c r="C185" s="185" t="s">
        <v>130</v>
      </c>
      <c r="D185" s="191">
        <f>SUM(D186:D187)</f>
        <v>249113200</v>
      </c>
      <c r="E185" s="191"/>
      <c r="F185" s="191">
        <f t="shared" ref="F185:G185" si="73">SUM(F186:F187)</f>
        <v>0</v>
      </c>
      <c r="G185" s="191">
        <f t="shared" si="73"/>
        <v>0</v>
      </c>
      <c r="H185" s="236">
        <f t="shared" si="63"/>
        <v>0</v>
      </c>
      <c r="I185" s="207"/>
      <c r="J185" s="175"/>
    </row>
    <row r="186" spans="1:10" s="176" customFormat="1" x14ac:dyDescent="0.25">
      <c r="A186" s="188"/>
      <c r="B186" s="178"/>
      <c r="C186" s="171" t="s">
        <v>117</v>
      </c>
      <c r="D186" s="192">
        <v>554500</v>
      </c>
      <c r="E186" s="192"/>
      <c r="F186" s="192"/>
      <c r="G186" s="192">
        <f>E186+F186</f>
        <v>0</v>
      </c>
      <c r="H186" s="24">
        <f t="shared" si="63"/>
        <v>0</v>
      </c>
      <c r="I186" s="207"/>
      <c r="J186" s="175"/>
    </row>
    <row r="187" spans="1:10" s="176" customFormat="1" x14ac:dyDescent="0.25">
      <c r="A187" s="188"/>
      <c r="B187" s="178"/>
      <c r="C187" s="171" t="s">
        <v>118</v>
      </c>
      <c r="D187" s="192">
        <v>248558700</v>
      </c>
      <c r="E187" s="192"/>
      <c r="F187" s="192"/>
      <c r="G187" s="192">
        <f>E187+F187</f>
        <v>0</v>
      </c>
      <c r="H187" s="24">
        <f t="shared" si="63"/>
        <v>0</v>
      </c>
      <c r="I187" s="207"/>
      <c r="J187" s="175"/>
    </row>
    <row r="188" spans="1:10" s="176" customFormat="1" x14ac:dyDescent="0.25">
      <c r="A188" s="188"/>
      <c r="B188" s="178"/>
      <c r="C188" s="185" t="s">
        <v>131</v>
      </c>
      <c r="D188" s="191">
        <f>SUM(D189:D190)</f>
        <v>90525000</v>
      </c>
      <c r="E188" s="191"/>
      <c r="F188" s="191">
        <f t="shared" ref="F188:G188" si="74">SUM(F189:F190)</f>
        <v>0</v>
      </c>
      <c r="G188" s="191">
        <f t="shared" si="74"/>
        <v>0</v>
      </c>
      <c r="H188" s="236">
        <f t="shared" si="63"/>
        <v>0</v>
      </c>
      <c r="I188" s="207"/>
      <c r="J188" s="175"/>
    </row>
    <row r="189" spans="1:10" s="176" customFormat="1" x14ac:dyDescent="0.25">
      <c r="A189" s="188"/>
      <c r="B189" s="178"/>
      <c r="C189" s="171" t="s">
        <v>117</v>
      </c>
      <c r="D189" s="192">
        <v>525000</v>
      </c>
      <c r="E189" s="192"/>
      <c r="F189" s="192"/>
      <c r="G189" s="192">
        <f>E189+F189</f>
        <v>0</v>
      </c>
      <c r="H189" s="24">
        <f t="shared" si="63"/>
        <v>0</v>
      </c>
      <c r="I189" s="207"/>
      <c r="J189" s="175"/>
    </row>
    <row r="190" spans="1:10" s="176" customFormat="1" x14ac:dyDescent="0.25">
      <c r="A190" s="188"/>
      <c r="B190" s="178"/>
      <c r="C190" s="171" t="s">
        <v>118</v>
      </c>
      <c r="D190" s="192">
        <v>90000000</v>
      </c>
      <c r="E190" s="192"/>
      <c r="F190" s="192"/>
      <c r="G190" s="192">
        <f>E190+F190</f>
        <v>0</v>
      </c>
      <c r="H190" s="24">
        <f t="shared" si="63"/>
        <v>0</v>
      </c>
      <c r="I190" s="207"/>
      <c r="J190" s="175"/>
    </row>
    <row r="191" spans="1:10" s="176" customFormat="1" x14ac:dyDescent="0.25">
      <c r="A191" s="188"/>
      <c r="B191" s="178"/>
      <c r="C191" s="185" t="s">
        <v>132</v>
      </c>
      <c r="D191" s="191">
        <f>SUM(D192:D194)</f>
        <v>732799800</v>
      </c>
      <c r="E191" s="191"/>
      <c r="F191" s="191">
        <f t="shared" ref="F191:G191" si="75">SUM(F192:F194)</f>
        <v>153890000</v>
      </c>
      <c r="G191" s="191">
        <f t="shared" si="75"/>
        <v>153890000</v>
      </c>
      <c r="H191" s="236">
        <f t="shared" si="63"/>
        <v>0.21000278657281293</v>
      </c>
      <c r="I191" s="207"/>
      <c r="J191" s="175"/>
    </row>
    <row r="192" spans="1:10" s="176" customFormat="1" x14ac:dyDescent="0.25">
      <c r="A192" s="188"/>
      <c r="B192" s="178"/>
      <c r="C192" s="171" t="s">
        <v>133</v>
      </c>
      <c r="D192" s="192">
        <v>0</v>
      </c>
      <c r="E192" s="192"/>
      <c r="F192" s="192"/>
      <c r="G192" s="192">
        <f>E192+F192</f>
        <v>0</v>
      </c>
      <c r="H192" s="24"/>
      <c r="I192" s="207"/>
      <c r="J192" s="175"/>
    </row>
    <row r="193" spans="1:12" s="176" customFormat="1" x14ac:dyDescent="0.25">
      <c r="A193" s="188"/>
      <c r="B193" s="178"/>
      <c r="C193" s="171" t="s">
        <v>134</v>
      </c>
      <c r="D193" s="192">
        <v>28000000</v>
      </c>
      <c r="E193" s="192"/>
      <c r="F193" s="192">
        <v>12200000</v>
      </c>
      <c r="G193" s="192">
        <f t="shared" ref="G193:G194" si="76">E193+F193</f>
        <v>12200000</v>
      </c>
      <c r="H193" s="24">
        <f>G193/D193</f>
        <v>0.43571428571428572</v>
      </c>
      <c r="I193" s="207" t="s">
        <v>135</v>
      </c>
      <c r="J193" s="175"/>
    </row>
    <row r="194" spans="1:12" s="176" customFormat="1" x14ac:dyDescent="0.25">
      <c r="A194" s="188"/>
      <c r="B194" s="178"/>
      <c r="C194" s="171" t="s">
        <v>136</v>
      </c>
      <c r="D194" s="192">
        <v>704799800</v>
      </c>
      <c r="E194" s="192"/>
      <c r="F194" s="192">
        <v>141690000</v>
      </c>
      <c r="G194" s="192">
        <f t="shared" si="76"/>
        <v>141690000</v>
      </c>
      <c r="H194" s="24">
        <f>G194/D194</f>
        <v>0.20103581187168329</v>
      </c>
      <c r="I194" s="207"/>
      <c r="J194" s="175"/>
    </row>
    <row r="195" spans="1:12" s="176" customFormat="1" x14ac:dyDescent="0.25">
      <c r="A195" s="188"/>
      <c r="B195" s="178"/>
      <c r="C195" s="185" t="s">
        <v>137</v>
      </c>
      <c r="D195" s="191">
        <f>SUM(D196:D197)</f>
        <v>187800000</v>
      </c>
      <c r="E195" s="191"/>
      <c r="F195" s="191">
        <f t="shared" ref="F195:G195" si="77">SUM(F196:F197)</f>
        <v>21449269</v>
      </c>
      <c r="G195" s="191">
        <f t="shared" si="77"/>
        <v>21449269</v>
      </c>
      <c r="H195" s="236">
        <f>G195/D195</f>
        <v>0.11421335995740149</v>
      </c>
      <c r="I195" s="207"/>
      <c r="J195" s="175"/>
    </row>
    <row r="196" spans="1:12" s="176" customFormat="1" x14ac:dyDescent="0.25">
      <c r="A196" s="188"/>
      <c r="B196" s="178"/>
      <c r="C196" s="171" t="s">
        <v>138</v>
      </c>
      <c r="D196" s="192">
        <v>133800000</v>
      </c>
      <c r="E196" s="192"/>
      <c r="F196" s="192">
        <v>21449269</v>
      </c>
      <c r="G196" s="192">
        <f>E196+F196</f>
        <v>21449269</v>
      </c>
      <c r="H196" s="24">
        <f>G196/D196</f>
        <v>0.16030843796711511</v>
      </c>
      <c r="I196" s="207" t="s">
        <v>139</v>
      </c>
      <c r="J196" s="175"/>
    </row>
    <row r="197" spans="1:12" s="176" customFormat="1" x14ac:dyDescent="0.25">
      <c r="A197" s="188"/>
      <c r="B197" s="178"/>
      <c r="C197" s="171" t="s">
        <v>140</v>
      </c>
      <c r="D197" s="192">
        <v>54000000</v>
      </c>
      <c r="E197" s="192"/>
      <c r="F197" s="192"/>
      <c r="G197" s="192">
        <f>E197+F197</f>
        <v>0</v>
      </c>
      <c r="H197" s="24">
        <f>G197/D197</f>
        <v>0</v>
      </c>
      <c r="I197" s="207"/>
      <c r="J197" s="175"/>
    </row>
    <row r="198" spans="1:12" s="176" customFormat="1" x14ac:dyDescent="0.25">
      <c r="A198" s="188"/>
      <c r="B198" s="178"/>
      <c r="C198" s="171"/>
      <c r="D198" s="192"/>
      <c r="E198" s="192"/>
      <c r="F198" s="192"/>
      <c r="G198" s="191"/>
      <c r="H198" s="236"/>
      <c r="I198" s="207"/>
      <c r="J198" s="175"/>
    </row>
    <row r="199" spans="1:12" s="176" customFormat="1" x14ac:dyDescent="0.25">
      <c r="A199" s="168" t="s">
        <v>452</v>
      </c>
      <c r="B199" s="22" t="s">
        <v>306</v>
      </c>
      <c r="C199" s="185" t="s">
        <v>75</v>
      </c>
      <c r="D199" s="191">
        <f>SUM(D200)</f>
        <v>14496560466</v>
      </c>
      <c r="E199" s="191"/>
      <c r="F199" s="191">
        <f t="shared" ref="F199:G199" si="78">SUM(F200)</f>
        <v>1091894056.5</v>
      </c>
      <c r="G199" s="191">
        <f t="shared" si="78"/>
        <v>1091894056.5</v>
      </c>
      <c r="H199" s="236">
        <f t="shared" ref="H199:H211" si="79">G199/D199</f>
        <v>7.5320905194091445E-2</v>
      </c>
      <c r="I199" s="207" t="s">
        <v>141</v>
      </c>
      <c r="J199" s="175"/>
    </row>
    <row r="200" spans="1:12" s="176" customFormat="1" x14ac:dyDescent="0.25">
      <c r="A200" s="188"/>
      <c r="B200" s="189" t="s">
        <v>340</v>
      </c>
      <c r="C200" s="185" t="s">
        <v>341</v>
      </c>
      <c r="D200" s="191">
        <f>D201</f>
        <v>14496560466</v>
      </c>
      <c r="E200" s="191"/>
      <c r="F200" s="191">
        <f t="shared" ref="F200:G200" si="80">F201</f>
        <v>1091894056.5</v>
      </c>
      <c r="G200" s="191">
        <f t="shared" si="80"/>
        <v>1091894056.5</v>
      </c>
      <c r="H200" s="236">
        <f t="shared" si="79"/>
        <v>7.5320905194091445E-2</v>
      </c>
      <c r="I200" s="207" t="s">
        <v>143</v>
      </c>
      <c r="J200" s="294"/>
      <c r="K200" s="295"/>
      <c r="L200" s="295"/>
    </row>
    <row r="201" spans="1:12" s="176" customFormat="1" x14ac:dyDescent="0.25">
      <c r="A201" s="188"/>
      <c r="B201" s="178"/>
      <c r="C201" s="172" t="s">
        <v>142</v>
      </c>
      <c r="D201" s="191">
        <f>SUM(D202:D211)</f>
        <v>14496560466</v>
      </c>
      <c r="E201" s="191"/>
      <c r="F201" s="191">
        <f t="shared" ref="F201:G201" si="81">SUM(F202:F211)</f>
        <v>1091894056.5</v>
      </c>
      <c r="G201" s="191">
        <f t="shared" si="81"/>
        <v>1091894056.5</v>
      </c>
      <c r="H201" s="236">
        <f t="shared" si="79"/>
        <v>7.5320905194091445E-2</v>
      </c>
      <c r="I201" s="207"/>
      <c r="J201" s="294"/>
      <c r="K201" s="295"/>
      <c r="L201" s="295"/>
    </row>
    <row r="202" spans="1:12" s="176" customFormat="1" x14ac:dyDescent="0.25">
      <c r="A202" s="188"/>
      <c r="B202" s="178"/>
      <c r="C202" s="171" t="s">
        <v>144</v>
      </c>
      <c r="D202" s="192">
        <v>1873243500</v>
      </c>
      <c r="E202" s="192"/>
      <c r="F202" s="192">
        <v>124189648.40000001</v>
      </c>
      <c r="G202" s="192">
        <f>E202+F202</f>
        <v>124189648.40000001</v>
      </c>
      <c r="H202" s="24">
        <f t="shared" si="79"/>
        <v>6.6296585788233081E-2</v>
      </c>
      <c r="I202" s="207" t="s">
        <v>145</v>
      </c>
      <c r="J202" s="294"/>
      <c r="K202" s="296"/>
      <c r="L202" s="295"/>
    </row>
    <row r="203" spans="1:12" s="176" customFormat="1" x14ac:dyDescent="0.25">
      <c r="A203" s="188"/>
      <c r="B203" s="178"/>
      <c r="C203" s="171" t="s">
        <v>146</v>
      </c>
      <c r="D203" s="192">
        <v>1100000000</v>
      </c>
      <c r="E203" s="192"/>
      <c r="F203" s="192">
        <v>70086444.879999995</v>
      </c>
      <c r="G203" s="192">
        <f t="shared" ref="G203:G211" si="82">E203+F203</f>
        <v>70086444.879999995</v>
      </c>
      <c r="H203" s="24">
        <f t="shared" si="79"/>
        <v>6.3714949890909089E-2</v>
      </c>
      <c r="I203" s="207"/>
      <c r="J203" s="294"/>
      <c r="K203" s="296"/>
      <c r="L203" s="295"/>
    </row>
    <row r="204" spans="1:12" s="176" customFormat="1" x14ac:dyDescent="0.25">
      <c r="A204" s="188"/>
      <c r="B204" s="178"/>
      <c r="C204" s="171" t="s">
        <v>147</v>
      </c>
      <c r="D204" s="192">
        <v>1400000000</v>
      </c>
      <c r="E204" s="192"/>
      <c r="F204" s="192">
        <v>88690856.390000001</v>
      </c>
      <c r="G204" s="192">
        <f t="shared" si="82"/>
        <v>88690856.390000001</v>
      </c>
      <c r="H204" s="24">
        <f t="shared" si="79"/>
        <v>6.3350611707142859E-2</v>
      </c>
      <c r="I204" s="207" t="s">
        <v>148</v>
      </c>
      <c r="J204" s="294"/>
      <c r="K204" s="296"/>
      <c r="L204" s="295"/>
    </row>
    <row r="205" spans="1:12" s="176" customFormat="1" x14ac:dyDescent="0.25">
      <c r="A205" s="188"/>
      <c r="B205" s="178"/>
      <c r="C205" s="171" t="s">
        <v>149</v>
      </c>
      <c r="D205" s="192">
        <v>2361598960</v>
      </c>
      <c r="E205" s="192"/>
      <c r="F205" s="192">
        <v>188492684.31</v>
      </c>
      <c r="G205" s="192">
        <f t="shared" si="82"/>
        <v>188492684.31</v>
      </c>
      <c r="H205" s="24">
        <f t="shared" si="79"/>
        <v>7.98157043183996E-2</v>
      </c>
      <c r="I205" s="207" t="s">
        <v>150</v>
      </c>
      <c r="J205" s="294"/>
      <c r="K205" s="296"/>
      <c r="L205" s="295"/>
    </row>
    <row r="206" spans="1:12" s="176" customFormat="1" x14ac:dyDescent="0.25">
      <c r="A206" s="188"/>
      <c r="B206" s="178"/>
      <c r="C206" s="171" t="s">
        <v>151</v>
      </c>
      <c r="D206" s="192">
        <v>922500000</v>
      </c>
      <c r="E206" s="192"/>
      <c r="F206" s="181">
        <v>72318052.959999993</v>
      </c>
      <c r="G206" s="192">
        <f t="shared" si="82"/>
        <v>72318052.959999993</v>
      </c>
      <c r="H206" s="24">
        <f t="shared" si="79"/>
        <v>7.8393553344173431E-2</v>
      </c>
      <c r="I206" s="207" t="s">
        <v>152</v>
      </c>
      <c r="J206" s="294"/>
      <c r="K206" s="296"/>
      <c r="L206" s="295"/>
    </row>
    <row r="207" spans="1:12" s="176" customFormat="1" x14ac:dyDescent="0.25">
      <c r="A207" s="188"/>
      <c r="B207" s="178"/>
      <c r="C207" s="171" t="s">
        <v>153</v>
      </c>
      <c r="D207" s="192">
        <v>1105404000</v>
      </c>
      <c r="E207" s="192"/>
      <c r="F207" s="192">
        <v>95513425.219999999</v>
      </c>
      <c r="G207" s="192">
        <f t="shared" si="82"/>
        <v>95513425.219999999</v>
      </c>
      <c r="H207" s="24">
        <f t="shared" si="79"/>
        <v>8.6405897952241892E-2</v>
      </c>
      <c r="I207" s="207"/>
      <c r="J207" s="294"/>
      <c r="K207" s="296"/>
      <c r="L207" s="295"/>
    </row>
    <row r="208" spans="1:12" s="176" customFormat="1" x14ac:dyDescent="0.25">
      <c r="A208" s="188"/>
      <c r="B208" s="178"/>
      <c r="C208" s="171" t="s">
        <v>154</v>
      </c>
      <c r="D208" s="192">
        <v>551536356</v>
      </c>
      <c r="E208" s="192"/>
      <c r="F208" s="181">
        <v>48059511.649999999</v>
      </c>
      <c r="G208" s="192">
        <f t="shared" si="82"/>
        <v>48059511.649999999</v>
      </c>
      <c r="H208" s="24">
        <f t="shared" si="79"/>
        <v>8.7137522535323128E-2</v>
      </c>
      <c r="I208" s="207" t="s">
        <v>155</v>
      </c>
      <c r="J208" s="294"/>
      <c r="K208" s="296"/>
      <c r="L208" s="295"/>
    </row>
    <row r="209" spans="1:12" s="176" customFormat="1" x14ac:dyDescent="0.25">
      <c r="A209" s="188"/>
      <c r="B209" s="178"/>
      <c r="C209" s="171" t="s">
        <v>156</v>
      </c>
      <c r="D209" s="192">
        <v>2380000000</v>
      </c>
      <c r="E209" s="192"/>
      <c r="F209" s="181">
        <v>189637493.72999999</v>
      </c>
      <c r="G209" s="192">
        <f t="shared" si="82"/>
        <v>189637493.72999999</v>
      </c>
      <c r="H209" s="24">
        <f t="shared" si="79"/>
        <v>7.9679619214285707E-2</v>
      </c>
      <c r="I209" s="207" t="s">
        <v>157</v>
      </c>
      <c r="J209" s="294"/>
      <c r="K209" s="296"/>
      <c r="L209" s="295"/>
    </row>
    <row r="210" spans="1:12" s="176" customFormat="1" x14ac:dyDescent="0.25">
      <c r="A210" s="188"/>
      <c r="B210" s="178"/>
      <c r="C210" s="171" t="s">
        <v>158</v>
      </c>
      <c r="D210" s="192">
        <v>1048195000</v>
      </c>
      <c r="E210" s="192"/>
      <c r="F210" s="192">
        <v>94995092.159999996</v>
      </c>
      <c r="G210" s="192">
        <f t="shared" si="82"/>
        <v>94995092.159999996</v>
      </c>
      <c r="H210" s="24">
        <f t="shared" si="79"/>
        <v>9.0627309002618783E-2</v>
      </c>
      <c r="I210" s="207" t="s">
        <v>159</v>
      </c>
      <c r="J210" s="294"/>
      <c r="K210" s="296"/>
      <c r="L210" s="295"/>
    </row>
    <row r="211" spans="1:12" s="176" customFormat="1" x14ac:dyDescent="0.25">
      <c r="A211" s="188"/>
      <c r="B211" s="178"/>
      <c r="C211" s="171" t="s">
        <v>160</v>
      </c>
      <c r="D211" s="192">
        <v>1754082650</v>
      </c>
      <c r="E211" s="192"/>
      <c r="F211" s="192">
        <v>119910846.8</v>
      </c>
      <c r="G211" s="192">
        <f t="shared" si="82"/>
        <v>119910846.8</v>
      </c>
      <c r="H211" s="24">
        <f t="shared" si="79"/>
        <v>6.8361001575381872E-2</v>
      </c>
      <c r="I211" s="207" t="s">
        <v>161</v>
      </c>
      <c r="J211" s="294"/>
      <c r="K211" s="296"/>
      <c r="L211" s="295"/>
    </row>
    <row r="212" spans="1:12" s="176" customFormat="1" x14ac:dyDescent="0.25">
      <c r="A212" s="188"/>
      <c r="B212" s="178"/>
      <c r="C212" s="171"/>
      <c r="D212" s="192"/>
      <c r="E212" s="192"/>
      <c r="F212" s="192"/>
      <c r="G212" s="192"/>
      <c r="H212" s="24"/>
      <c r="I212" s="207"/>
      <c r="J212" s="294"/>
      <c r="K212" s="295"/>
      <c r="L212" s="295"/>
    </row>
    <row r="213" spans="1:12" s="176" customFormat="1" x14ac:dyDescent="0.25">
      <c r="A213" s="168" t="s">
        <v>591</v>
      </c>
      <c r="B213" s="22" t="s">
        <v>306</v>
      </c>
      <c r="C213" s="185" t="s">
        <v>75</v>
      </c>
      <c r="D213" s="196">
        <f t="shared" ref="D213:G216" si="83">D214</f>
        <v>167200000</v>
      </c>
      <c r="E213" s="196"/>
      <c r="F213" s="196">
        <f t="shared" si="83"/>
        <v>11562112</v>
      </c>
      <c r="G213" s="196">
        <f t="shared" si="83"/>
        <v>11562112</v>
      </c>
      <c r="H213" s="236">
        <f>G213/D213</f>
        <v>6.9151387559808611E-2</v>
      </c>
      <c r="I213" s="209"/>
      <c r="J213" s="294"/>
      <c r="K213" s="295"/>
      <c r="L213" s="295"/>
    </row>
    <row r="214" spans="1:12" s="176" customFormat="1" x14ac:dyDescent="0.25">
      <c r="A214" s="188"/>
      <c r="B214" s="189" t="s">
        <v>340</v>
      </c>
      <c r="C214" s="185" t="s">
        <v>341</v>
      </c>
      <c r="D214" s="196">
        <f t="shared" si="83"/>
        <v>167200000</v>
      </c>
      <c r="E214" s="196"/>
      <c r="F214" s="196">
        <f t="shared" si="83"/>
        <v>11562112</v>
      </c>
      <c r="G214" s="196">
        <f t="shared" si="83"/>
        <v>11562112</v>
      </c>
      <c r="H214" s="236">
        <f>G214/D214</f>
        <v>6.9151387559808611E-2</v>
      </c>
      <c r="I214" s="209"/>
      <c r="J214" s="294"/>
      <c r="K214" s="295"/>
      <c r="L214" s="295"/>
    </row>
    <row r="215" spans="1:12" s="176" customFormat="1" x14ac:dyDescent="0.25">
      <c r="A215" s="188"/>
      <c r="B215" s="22"/>
      <c r="C215" s="185" t="s">
        <v>76</v>
      </c>
      <c r="D215" s="196">
        <f t="shared" si="83"/>
        <v>167200000</v>
      </c>
      <c r="E215" s="196"/>
      <c r="F215" s="196">
        <f t="shared" si="83"/>
        <v>11562112</v>
      </c>
      <c r="G215" s="196">
        <f t="shared" si="83"/>
        <v>11562112</v>
      </c>
      <c r="H215" s="236">
        <f>G215/D215</f>
        <v>6.9151387559808611E-2</v>
      </c>
      <c r="I215" s="209"/>
      <c r="J215" s="294"/>
      <c r="K215" s="295"/>
      <c r="L215" s="295"/>
    </row>
    <row r="216" spans="1:12" s="176" customFormat="1" x14ac:dyDescent="0.25">
      <c r="A216" s="188"/>
      <c r="B216" s="178"/>
      <c r="C216" s="183" t="s">
        <v>77</v>
      </c>
      <c r="D216" s="191">
        <f t="shared" si="83"/>
        <v>167200000</v>
      </c>
      <c r="E216" s="191"/>
      <c r="F216" s="191">
        <f t="shared" si="83"/>
        <v>11562112</v>
      </c>
      <c r="G216" s="191">
        <f t="shared" si="83"/>
        <v>11562112</v>
      </c>
      <c r="H216" s="236">
        <f>G216/D216</f>
        <v>6.9151387559808611E-2</v>
      </c>
      <c r="I216" s="207"/>
      <c r="J216" s="294"/>
      <c r="K216" s="295"/>
      <c r="L216" s="295"/>
    </row>
    <row r="217" spans="1:12" s="176" customFormat="1" x14ac:dyDescent="0.25">
      <c r="A217" s="182"/>
      <c r="B217" s="177" t="s">
        <v>79</v>
      </c>
      <c r="C217" s="183" t="s">
        <v>80</v>
      </c>
      <c r="D217" s="192">
        <v>167200000</v>
      </c>
      <c r="E217" s="192"/>
      <c r="F217" s="192">
        <v>11562112</v>
      </c>
      <c r="G217" s="192">
        <f>E217+F217</f>
        <v>11562112</v>
      </c>
      <c r="H217" s="24">
        <f>G217/D217</f>
        <v>6.9151387559808611E-2</v>
      </c>
      <c r="I217" s="207" t="s">
        <v>78</v>
      </c>
      <c r="J217" s="294"/>
      <c r="K217" s="295"/>
      <c r="L217" s="295"/>
    </row>
    <row r="218" spans="1:12" s="176" customFormat="1" x14ac:dyDescent="0.25">
      <c r="A218" s="182"/>
      <c r="B218" s="177"/>
      <c r="C218" s="183"/>
      <c r="D218" s="192"/>
      <c r="E218" s="192"/>
      <c r="F218" s="192"/>
      <c r="G218" s="191"/>
      <c r="H218" s="24"/>
      <c r="I218" s="207"/>
      <c r="J218" s="294"/>
      <c r="K218" s="295"/>
      <c r="L218" s="295"/>
    </row>
    <row r="219" spans="1:12" s="187" customFormat="1" x14ac:dyDescent="0.25">
      <c r="A219" s="165" t="s">
        <v>627</v>
      </c>
      <c r="B219" s="179" t="s">
        <v>446</v>
      </c>
      <c r="C219" s="180" t="s">
        <v>447</v>
      </c>
      <c r="D219" s="191">
        <f>D220</f>
        <v>0</v>
      </c>
      <c r="E219" s="191"/>
      <c r="F219" s="191">
        <f>F220</f>
        <v>0</v>
      </c>
      <c r="G219" s="191">
        <f>G220</f>
        <v>0</v>
      </c>
      <c r="H219" s="236" t="e">
        <f>G219/D219</f>
        <v>#DIV/0!</v>
      </c>
      <c r="I219" s="216"/>
      <c r="J219" s="186"/>
    </row>
    <row r="220" spans="1:12" s="187" customFormat="1" x14ac:dyDescent="0.25">
      <c r="A220" s="254"/>
      <c r="B220" s="179" t="s">
        <v>448</v>
      </c>
      <c r="C220" s="180" t="s">
        <v>449</v>
      </c>
      <c r="D220" s="191">
        <f>SUM(D221:D223)</f>
        <v>0</v>
      </c>
      <c r="E220" s="191"/>
      <c r="F220" s="191">
        <f>SUM(F221:F223)</f>
        <v>0</v>
      </c>
      <c r="G220" s="191">
        <f>SUM(G221:G223)</f>
        <v>0</v>
      </c>
      <c r="H220" s="236" t="e">
        <f>G220/D220</f>
        <v>#DIV/0!</v>
      </c>
      <c r="I220" s="216"/>
      <c r="J220" s="186"/>
    </row>
    <row r="221" spans="1:12" s="176" customFormat="1" x14ac:dyDescent="0.25">
      <c r="A221" s="182"/>
      <c r="B221" s="178"/>
      <c r="C221" s="193" t="s">
        <v>450</v>
      </c>
      <c r="D221" s="192">
        <v>0</v>
      </c>
      <c r="E221" s="192"/>
      <c r="F221" s="192"/>
      <c r="G221" s="192">
        <f>E221+F221</f>
        <v>0</v>
      </c>
      <c r="H221" s="252" t="e">
        <f>G221/D221</f>
        <v>#DIV/0!</v>
      </c>
      <c r="I221" s="207"/>
      <c r="J221" s="175"/>
    </row>
    <row r="222" spans="1:12" s="176" customFormat="1" x14ac:dyDescent="0.25">
      <c r="A222" s="182"/>
      <c r="B222" s="178"/>
      <c r="C222" s="193" t="s">
        <v>451</v>
      </c>
      <c r="D222" s="192">
        <v>0</v>
      </c>
      <c r="E222" s="192"/>
      <c r="F222" s="192"/>
      <c r="G222" s="192">
        <f>E222+F222</f>
        <v>0</v>
      </c>
      <c r="H222" s="252" t="e">
        <f>G222/D222</f>
        <v>#DIV/0!</v>
      </c>
      <c r="I222" s="207"/>
      <c r="J222" s="175"/>
    </row>
    <row r="223" spans="1:12" s="176" customFormat="1" x14ac:dyDescent="0.25">
      <c r="A223" s="182"/>
      <c r="B223" s="178"/>
      <c r="C223" s="193"/>
      <c r="D223" s="192"/>
      <c r="E223" s="192"/>
      <c r="F223" s="192"/>
      <c r="G223" s="192"/>
      <c r="H223" s="252"/>
      <c r="I223" s="207"/>
      <c r="J223" s="175"/>
    </row>
    <row r="224" spans="1:12" s="176" customFormat="1" x14ac:dyDescent="0.25">
      <c r="A224" s="182"/>
      <c r="B224" s="36"/>
      <c r="C224" s="37"/>
      <c r="D224" s="192"/>
      <c r="E224" s="192"/>
      <c r="F224" s="192"/>
      <c r="G224" s="191"/>
      <c r="H224" s="236"/>
      <c r="I224" s="222"/>
      <c r="J224" s="175"/>
    </row>
    <row r="225" spans="1:11" s="176" customFormat="1" ht="24.75" customHeight="1" x14ac:dyDescent="0.25">
      <c r="A225" s="126" t="s">
        <v>163</v>
      </c>
      <c r="B225" s="128" t="s">
        <v>164</v>
      </c>
      <c r="C225" s="41" t="s">
        <v>268</v>
      </c>
      <c r="D225" s="42">
        <f>SUM(D226+D415)</f>
        <v>748486409081</v>
      </c>
      <c r="E225" s="42"/>
      <c r="F225" s="42">
        <f>SUM(F226+F415)</f>
        <v>71197087100</v>
      </c>
      <c r="G225" s="42">
        <f>SUM(G226+G415)</f>
        <v>71197087100</v>
      </c>
      <c r="H225" s="237">
        <f t="shared" ref="H225:H230" si="84">G225/D225</f>
        <v>9.5121416015310933E-2</v>
      </c>
      <c r="I225" s="223"/>
      <c r="J225" s="175"/>
      <c r="K225" s="270"/>
    </row>
    <row r="226" spans="1:11" s="176" customFormat="1" x14ac:dyDescent="0.25">
      <c r="A226" s="134" t="s">
        <v>416</v>
      </c>
      <c r="B226" s="135" t="s">
        <v>350</v>
      </c>
      <c r="C226" s="136" t="s">
        <v>351</v>
      </c>
      <c r="D226" s="137">
        <f>SUM(D227+D408)</f>
        <v>643257080000</v>
      </c>
      <c r="E226" s="137"/>
      <c r="F226" s="137">
        <f>SUM(F227+F408)</f>
        <v>71197087100</v>
      </c>
      <c r="G226" s="137">
        <f>SUM(G227+G408)</f>
        <v>71197087100</v>
      </c>
      <c r="H226" s="238">
        <f t="shared" si="84"/>
        <v>0.11068216629656062</v>
      </c>
      <c r="I226" s="223"/>
      <c r="J226" s="175"/>
    </row>
    <row r="227" spans="1:11" s="176" customFormat="1" x14ac:dyDescent="0.25">
      <c r="A227" s="123" t="s">
        <v>89</v>
      </c>
      <c r="B227" s="133" t="s">
        <v>352</v>
      </c>
      <c r="C227" s="124" t="s">
        <v>165</v>
      </c>
      <c r="D227" s="125">
        <f>SUM(D228+D293+D295+D363)</f>
        <v>643257080000</v>
      </c>
      <c r="E227" s="125"/>
      <c r="F227" s="125">
        <f>SUM(F228+F293+F295+F363)</f>
        <v>71197087100</v>
      </c>
      <c r="G227" s="125">
        <f>SUM(G228+G293+G295+G363)</f>
        <v>71197087100</v>
      </c>
      <c r="H227" s="239">
        <f t="shared" si="84"/>
        <v>0.11068216629656062</v>
      </c>
      <c r="I227" s="223"/>
      <c r="J227" s="175"/>
      <c r="K227" s="270"/>
    </row>
    <row r="228" spans="1:11" s="176" customFormat="1" x14ac:dyDescent="0.25">
      <c r="A228" s="138" t="s">
        <v>166</v>
      </c>
      <c r="B228" s="139" t="s">
        <v>353</v>
      </c>
      <c r="C228" s="140" t="s">
        <v>354</v>
      </c>
      <c r="D228" s="141">
        <f>SUM(D229+D260+D264+D268+D272+D276+D280+D285+D288)</f>
        <v>154499794000</v>
      </c>
      <c r="E228" s="141">
        <f>SUM(E229+E260+E264+E268+E272+E276+E280+E285+E288)</f>
        <v>0</v>
      </c>
      <c r="F228" s="141">
        <f>SUM(F229+F260+F264+F268+F272+F276+F280+F285+F288)</f>
        <v>588547100</v>
      </c>
      <c r="G228" s="141">
        <f>G229+G260+G264+G268+G272+G276+G280+G288</f>
        <v>588547100</v>
      </c>
      <c r="H228" s="240">
        <f t="shared" si="84"/>
        <v>3.8093714222039673E-3</v>
      </c>
      <c r="I228" s="224"/>
      <c r="J228" s="175"/>
      <c r="K228" s="270"/>
    </row>
    <row r="229" spans="1:11" s="187" customFormat="1" x14ac:dyDescent="0.25">
      <c r="A229" s="184" t="s">
        <v>406</v>
      </c>
      <c r="B229" s="189" t="s">
        <v>355</v>
      </c>
      <c r="C229" s="185" t="s">
        <v>356</v>
      </c>
      <c r="D229" s="196">
        <f>D230+D240</f>
        <v>25228962000</v>
      </c>
      <c r="E229" s="196">
        <f t="shared" ref="E229:G229" si="85">E230+E240</f>
        <v>0</v>
      </c>
      <c r="F229" s="196">
        <f t="shared" si="85"/>
        <v>0</v>
      </c>
      <c r="G229" s="196">
        <f t="shared" si="85"/>
        <v>0</v>
      </c>
      <c r="H229" s="236">
        <f t="shared" si="84"/>
        <v>0</v>
      </c>
      <c r="I229" s="225" t="s">
        <v>167</v>
      </c>
      <c r="J229" s="186"/>
    </row>
    <row r="230" spans="1:11" s="187" customFormat="1" x14ac:dyDescent="0.25">
      <c r="A230" s="184"/>
      <c r="B230" s="189"/>
      <c r="C230" s="185" t="s">
        <v>633</v>
      </c>
      <c r="D230" s="196">
        <v>25228962000</v>
      </c>
      <c r="E230" s="196"/>
      <c r="F230" s="196">
        <f t="shared" ref="F230:G230" si="86">SUM(F231:F239)</f>
        <v>0</v>
      </c>
      <c r="G230" s="196">
        <f t="shared" si="86"/>
        <v>0</v>
      </c>
      <c r="H230" s="236">
        <f t="shared" si="84"/>
        <v>0</v>
      </c>
      <c r="I230" s="225"/>
      <c r="J230" s="186"/>
    </row>
    <row r="231" spans="1:11" s="187" customFormat="1" x14ac:dyDescent="0.25">
      <c r="A231" s="184"/>
      <c r="B231" s="190"/>
      <c r="C231" s="193" t="s">
        <v>453</v>
      </c>
      <c r="D231" s="181"/>
      <c r="E231" s="181"/>
      <c r="F231" s="181"/>
      <c r="G231" s="192">
        <f>E231+F231</f>
        <v>0</v>
      </c>
      <c r="H231" s="24"/>
      <c r="I231" s="225"/>
      <c r="J231" s="186"/>
    </row>
    <row r="232" spans="1:11" s="187" customFormat="1" x14ac:dyDescent="0.25">
      <c r="A232" s="184"/>
      <c r="B232" s="190"/>
      <c r="C232" s="193" t="s">
        <v>454</v>
      </c>
      <c r="D232" s="181"/>
      <c r="E232" s="181"/>
      <c r="F232" s="181"/>
      <c r="G232" s="192">
        <f t="shared" ref="G232:G239" si="87">E232+F232</f>
        <v>0</v>
      </c>
      <c r="H232" s="24"/>
      <c r="I232" s="225"/>
      <c r="J232" s="186"/>
    </row>
    <row r="233" spans="1:11" s="187" customFormat="1" x14ac:dyDescent="0.25">
      <c r="A233" s="184"/>
      <c r="B233" s="190"/>
      <c r="C233" s="193" t="s">
        <v>455</v>
      </c>
      <c r="D233" s="181"/>
      <c r="E233" s="181"/>
      <c r="F233" s="181"/>
      <c r="G233" s="192">
        <f t="shared" si="87"/>
        <v>0</v>
      </c>
      <c r="H233" s="24"/>
      <c r="I233" s="225"/>
      <c r="J233" s="186"/>
    </row>
    <row r="234" spans="1:11" s="187" customFormat="1" x14ac:dyDescent="0.25">
      <c r="A234" s="184"/>
      <c r="B234" s="190"/>
      <c r="C234" s="193" t="s">
        <v>456</v>
      </c>
      <c r="D234" s="181"/>
      <c r="E234" s="181"/>
      <c r="F234" s="181"/>
      <c r="G234" s="192">
        <f t="shared" si="87"/>
        <v>0</v>
      </c>
      <c r="H234" s="24"/>
      <c r="I234" s="225"/>
      <c r="J234" s="186"/>
    </row>
    <row r="235" spans="1:11" s="187" customFormat="1" x14ac:dyDescent="0.25">
      <c r="A235" s="184"/>
      <c r="B235" s="190"/>
      <c r="C235" s="193" t="s">
        <v>457</v>
      </c>
      <c r="D235" s="181"/>
      <c r="E235" s="181"/>
      <c r="F235" s="181"/>
      <c r="G235" s="192">
        <f t="shared" si="87"/>
        <v>0</v>
      </c>
      <c r="H235" s="24"/>
      <c r="I235" s="225"/>
      <c r="J235" s="186"/>
    </row>
    <row r="236" spans="1:11" s="187" customFormat="1" x14ac:dyDescent="0.25">
      <c r="A236" s="184"/>
      <c r="B236" s="190"/>
      <c r="C236" s="193" t="s">
        <v>458</v>
      </c>
      <c r="D236" s="181"/>
      <c r="E236" s="181"/>
      <c r="F236" s="181"/>
      <c r="G236" s="192">
        <f t="shared" si="87"/>
        <v>0</v>
      </c>
      <c r="H236" s="24"/>
      <c r="I236" s="225"/>
      <c r="J236" s="186"/>
    </row>
    <row r="237" spans="1:11" s="187" customFormat="1" x14ac:dyDescent="0.25">
      <c r="A237" s="184"/>
      <c r="B237" s="190"/>
      <c r="C237" s="193" t="s">
        <v>459</v>
      </c>
      <c r="D237" s="181"/>
      <c r="E237" s="181"/>
      <c r="F237" s="181"/>
      <c r="G237" s="192">
        <f t="shared" si="87"/>
        <v>0</v>
      </c>
      <c r="H237" s="24"/>
      <c r="I237" s="225"/>
      <c r="J237" s="186"/>
    </row>
    <row r="238" spans="1:11" s="187" customFormat="1" x14ac:dyDescent="0.25">
      <c r="A238" s="184"/>
      <c r="B238" s="190"/>
      <c r="C238" s="193" t="s">
        <v>460</v>
      </c>
      <c r="D238" s="181"/>
      <c r="E238" s="181"/>
      <c r="F238" s="181"/>
      <c r="G238" s="192">
        <f t="shared" si="87"/>
        <v>0</v>
      </c>
      <c r="H238" s="24"/>
      <c r="I238" s="225"/>
      <c r="J238" s="186"/>
    </row>
    <row r="239" spans="1:11" s="187" customFormat="1" x14ac:dyDescent="0.25">
      <c r="A239" s="184"/>
      <c r="B239" s="190"/>
      <c r="C239" s="193" t="s">
        <v>461</v>
      </c>
      <c r="D239" s="181"/>
      <c r="E239" s="181"/>
      <c r="F239" s="181"/>
      <c r="G239" s="192">
        <f t="shared" si="87"/>
        <v>0</v>
      </c>
      <c r="H239" s="24"/>
      <c r="I239" s="225"/>
      <c r="J239" s="186"/>
    </row>
    <row r="240" spans="1:11" s="187" customFormat="1" x14ac:dyDescent="0.25">
      <c r="A240" s="184"/>
      <c r="B240" s="190"/>
      <c r="C240" s="35" t="s">
        <v>519</v>
      </c>
      <c r="D240" s="196">
        <f>SUM(D241:D258)</f>
        <v>0</v>
      </c>
      <c r="E240" s="196">
        <f t="shared" ref="E240:G240" si="88">SUM(E241:E258)</f>
        <v>0</v>
      </c>
      <c r="F240" s="196">
        <f t="shared" si="88"/>
        <v>0</v>
      </c>
      <c r="G240" s="196">
        <f t="shared" si="88"/>
        <v>0</v>
      </c>
      <c r="H240" s="236" t="e">
        <f t="shared" ref="H240:H258" si="89">G240/D240</f>
        <v>#DIV/0!</v>
      </c>
      <c r="I240" s="225"/>
      <c r="J240" s="186"/>
    </row>
    <row r="241" spans="1:10" s="187" customFormat="1" x14ac:dyDescent="0.25">
      <c r="A241" s="184"/>
      <c r="B241" s="190"/>
      <c r="C241" s="193" t="s">
        <v>521</v>
      </c>
      <c r="D241" s="181"/>
      <c r="E241" s="181"/>
      <c r="F241" s="181"/>
      <c r="G241" s="192">
        <f>E241+F241</f>
        <v>0</v>
      </c>
      <c r="H241" s="24" t="e">
        <f t="shared" si="89"/>
        <v>#DIV/0!</v>
      </c>
      <c r="I241" s="225"/>
      <c r="J241" s="186"/>
    </row>
    <row r="242" spans="1:10" s="187" customFormat="1" x14ac:dyDescent="0.25">
      <c r="A242" s="184"/>
      <c r="B242" s="190"/>
      <c r="C242" s="193" t="s">
        <v>520</v>
      </c>
      <c r="D242" s="181"/>
      <c r="E242" s="181"/>
      <c r="F242" s="181"/>
      <c r="G242" s="192">
        <f t="shared" ref="G242:G258" si="90">E242+F242</f>
        <v>0</v>
      </c>
      <c r="H242" s="24" t="e">
        <f t="shared" si="89"/>
        <v>#DIV/0!</v>
      </c>
      <c r="I242" s="225"/>
      <c r="J242" s="186"/>
    </row>
    <row r="243" spans="1:10" s="187" customFormat="1" x14ac:dyDescent="0.25">
      <c r="A243" s="184"/>
      <c r="B243" s="190"/>
      <c r="C243" s="193" t="s">
        <v>522</v>
      </c>
      <c r="D243" s="181"/>
      <c r="E243" s="181"/>
      <c r="F243" s="181"/>
      <c r="G243" s="192">
        <f t="shared" si="90"/>
        <v>0</v>
      </c>
      <c r="H243" s="24" t="e">
        <f t="shared" si="89"/>
        <v>#DIV/0!</v>
      </c>
      <c r="I243" s="225"/>
      <c r="J243" s="186"/>
    </row>
    <row r="244" spans="1:10" s="187" customFormat="1" x14ac:dyDescent="0.25">
      <c r="A244" s="184"/>
      <c r="B244" s="190"/>
      <c r="C244" s="193" t="s">
        <v>523</v>
      </c>
      <c r="D244" s="181"/>
      <c r="E244" s="181"/>
      <c r="F244" s="181"/>
      <c r="G244" s="192">
        <f t="shared" si="90"/>
        <v>0</v>
      </c>
      <c r="H244" s="24" t="e">
        <f t="shared" si="89"/>
        <v>#DIV/0!</v>
      </c>
      <c r="I244" s="225"/>
      <c r="J244" s="186"/>
    </row>
    <row r="245" spans="1:10" s="187" customFormat="1" x14ac:dyDescent="0.25">
      <c r="A245" s="184"/>
      <c r="B245" s="190"/>
      <c r="C245" s="193" t="s">
        <v>524</v>
      </c>
      <c r="D245" s="181"/>
      <c r="E245" s="181"/>
      <c r="F245" s="181"/>
      <c r="G245" s="192">
        <f t="shared" si="90"/>
        <v>0</v>
      </c>
      <c r="H245" s="24" t="e">
        <f t="shared" si="89"/>
        <v>#DIV/0!</v>
      </c>
      <c r="I245" s="225"/>
      <c r="J245" s="186"/>
    </row>
    <row r="246" spans="1:10" s="187" customFormat="1" x14ac:dyDescent="0.25">
      <c r="A246" s="184"/>
      <c r="B246" s="190"/>
      <c r="C246" s="193" t="s">
        <v>525</v>
      </c>
      <c r="D246" s="181"/>
      <c r="E246" s="181"/>
      <c r="F246" s="181"/>
      <c r="G246" s="192">
        <f t="shared" si="90"/>
        <v>0</v>
      </c>
      <c r="H246" s="24" t="e">
        <f t="shared" si="89"/>
        <v>#DIV/0!</v>
      </c>
      <c r="I246" s="225"/>
      <c r="J246" s="186"/>
    </row>
    <row r="247" spans="1:10" s="187" customFormat="1" x14ac:dyDescent="0.25">
      <c r="A247" s="184"/>
      <c r="B247" s="190"/>
      <c r="C247" s="193" t="s">
        <v>526</v>
      </c>
      <c r="D247" s="181"/>
      <c r="E247" s="181"/>
      <c r="F247" s="181"/>
      <c r="G247" s="192">
        <f t="shared" si="90"/>
        <v>0</v>
      </c>
      <c r="H247" s="24" t="e">
        <f t="shared" si="89"/>
        <v>#DIV/0!</v>
      </c>
      <c r="I247" s="225"/>
      <c r="J247" s="186"/>
    </row>
    <row r="248" spans="1:10" s="187" customFormat="1" x14ac:dyDescent="0.25">
      <c r="A248" s="184"/>
      <c r="B248" s="190"/>
      <c r="C248" s="193" t="s">
        <v>527</v>
      </c>
      <c r="D248" s="181"/>
      <c r="E248" s="181"/>
      <c r="F248" s="181"/>
      <c r="G248" s="192">
        <f t="shared" si="90"/>
        <v>0</v>
      </c>
      <c r="H248" s="24" t="e">
        <f t="shared" si="89"/>
        <v>#DIV/0!</v>
      </c>
      <c r="I248" s="225"/>
      <c r="J248" s="186"/>
    </row>
    <row r="249" spans="1:10" s="187" customFormat="1" x14ac:dyDescent="0.25">
      <c r="A249" s="184"/>
      <c r="B249" s="190"/>
      <c r="C249" s="193" t="s">
        <v>528</v>
      </c>
      <c r="D249" s="181"/>
      <c r="E249" s="181"/>
      <c r="F249" s="181"/>
      <c r="G249" s="192">
        <f t="shared" si="90"/>
        <v>0</v>
      </c>
      <c r="H249" s="24" t="e">
        <f t="shared" si="89"/>
        <v>#DIV/0!</v>
      </c>
      <c r="I249" s="225"/>
      <c r="J249" s="186"/>
    </row>
    <row r="250" spans="1:10" s="187" customFormat="1" x14ac:dyDescent="0.25">
      <c r="A250" s="184"/>
      <c r="B250" s="190"/>
      <c r="C250" s="193" t="s">
        <v>567</v>
      </c>
      <c r="D250" s="181"/>
      <c r="E250" s="181"/>
      <c r="F250" s="181"/>
      <c r="G250" s="192">
        <f t="shared" si="90"/>
        <v>0</v>
      </c>
      <c r="H250" s="24" t="e">
        <f t="shared" si="89"/>
        <v>#DIV/0!</v>
      </c>
      <c r="I250" s="225"/>
      <c r="J250" s="186"/>
    </row>
    <row r="251" spans="1:10" s="187" customFormat="1" x14ac:dyDescent="0.25">
      <c r="A251" s="184"/>
      <c r="B251" s="190"/>
      <c r="C251" s="193" t="s">
        <v>568</v>
      </c>
      <c r="D251" s="181"/>
      <c r="E251" s="181"/>
      <c r="F251" s="181"/>
      <c r="G251" s="192">
        <f t="shared" si="90"/>
        <v>0</v>
      </c>
      <c r="H251" s="24" t="e">
        <f t="shared" si="89"/>
        <v>#DIV/0!</v>
      </c>
      <c r="I251" s="225"/>
      <c r="J251" s="186"/>
    </row>
    <row r="252" spans="1:10" s="187" customFormat="1" x14ac:dyDescent="0.25">
      <c r="A252" s="184"/>
      <c r="B252" s="190"/>
      <c r="C252" s="193" t="s">
        <v>569</v>
      </c>
      <c r="D252" s="181"/>
      <c r="E252" s="181"/>
      <c r="F252" s="181"/>
      <c r="G252" s="192">
        <f t="shared" si="90"/>
        <v>0</v>
      </c>
      <c r="H252" s="24" t="e">
        <f t="shared" si="89"/>
        <v>#DIV/0!</v>
      </c>
      <c r="I252" s="225"/>
      <c r="J252" s="186"/>
    </row>
    <row r="253" spans="1:10" s="187" customFormat="1" x14ac:dyDescent="0.25">
      <c r="A253" s="184"/>
      <c r="B253" s="190"/>
      <c r="C253" s="193" t="s">
        <v>570</v>
      </c>
      <c r="D253" s="181"/>
      <c r="E253" s="181"/>
      <c r="F253" s="181"/>
      <c r="G253" s="192">
        <f t="shared" si="90"/>
        <v>0</v>
      </c>
      <c r="H253" s="24" t="e">
        <f t="shared" si="89"/>
        <v>#DIV/0!</v>
      </c>
      <c r="I253" s="225"/>
      <c r="J253" s="186"/>
    </row>
    <row r="254" spans="1:10" s="187" customFormat="1" x14ac:dyDescent="0.25">
      <c r="A254" s="184"/>
      <c r="B254" s="190"/>
      <c r="C254" s="193" t="s">
        <v>571</v>
      </c>
      <c r="D254" s="181"/>
      <c r="E254" s="181"/>
      <c r="F254" s="181"/>
      <c r="G254" s="192">
        <f t="shared" si="90"/>
        <v>0</v>
      </c>
      <c r="H254" s="24" t="e">
        <f t="shared" si="89"/>
        <v>#DIV/0!</v>
      </c>
      <c r="I254" s="225"/>
      <c r="J254" s="186"/>
    </row>
    <row r="255" spans="1:10" s="187" customFormat="1" x14ac:dyDescent="0.25">
      <c r="A255" s="184"/>
      <c r="B255" s="190"/>
      <c r="C255" s="193" t="s">
        <v>572</v>
      </c>
      <c r="D255" s="181"/>
      <c r="E255" s="181"/>
      <c r="F255" s="181"/>
      <c r="G255" s="192">
        <f t="shared" si="90"/>
        <v>0</v>
      </c>
      <c r="H255" s="24" t="e">
        <f t="shared" si="89"/>
        <v>#DIV/0!</v>
      </c>
      <c r="I255" s="225"/>
      <c r="J255" s="186"/>
    </row>
    <row r="256" spans="1:10" s="187" customFormat="1" x14ac:dyDescent="0.25">
      <c r="A256" s="184"/>
      <c r="B256" s="190"/>
      <c r="C256" s="193" t="s">
        <v>573</v>
      </c>
      <c r="D256" s="181"/>
      <c r="E256" s="181"/>
      <c r="F256" s="181"/>
      <c r="G256" s="192">
        <f t="shared" si="90"/>
        <v>0</v>
      </c>
      <c r="H256" s="24" t="e">
        <f t="shared" si="89"/>
        <v>#DIV/0!</v>
      </c>
      <c r="I256" s="225"/>
      <c r="J256" s="186"/>
    </row>
    <row r="257" spans="1:10" s="187" customFormat="1" x14ac:dyDescent="0.25">
      <c r="A257" s="184"/>
      <c r="B257" s="190"/>
      <c r="C257" s="193" t="s">
        <v>574</v>
      </c>
      <c r="D257" s="181"/>
      <c r="E257" s="181"/>
      <c r="F257" s="181"/>
      <c r="G257" s="192">
        <f t="shared" si="90"/>
        <v>0</v>
      </c>
      <c r="H257" s="24" t="e">
        <f t="shared" si="89"/>
        <v>#DIV/0!</v>
      </c>
      <c r="I257" s="225"/>
      <c r="J257" s="186"/>
    </row>
    <row r="258" spans="1:10" s="187" customFormat="1" x14ac:dyDescent="0.25">
      <c r="A258" s="184"/>
      <c r="B258" s="190"/>
      <c r="C258" s="193" t="s">
        <v>575</v>
      </c>
      <c r="D258" s="181"/>
      <c r="E258" s="181"/>
      <c r="F258" s="181"/>
      <c r="G258" s="192">
        <f t="shared" si="90"/>
        <v>0</v>
      </c>
      <c r="H258" s="24" t="e">
        <f t="shared" si="89"/>
        <v>#DIV/0!</v>
      </c>
      <c r="I258" s="225"/>
      <c r="J258" s="186"/>
    </row>
    <row r="259" spans="1:10" s="187" customFormat="1" x14ac:dyDescent="0.25">
      <c r="A259" s="184"/>
      <c r="B259" s="190"/>
      <c r="C259" s="183"/>
      <c r="D259" s="181"/>
      <c r="E259" s="181"/>
      <c r="F259" s="181"/>
      <c r="G259" s="192"/>
      <c r="H259" s="24"/>
      <c r="I259" s="225"/>
      <c r="J259" s="186"/>
    </row>
    <row r="260" spans="1:10" s="187" customFormat="1" x14ac:dyDescent="0.25">
      <c r="A260" s="184" t="s">
        <v>407</v>
      </c>
      <c r="B260" s="189" t="s">
        <v>357</v>
      </c>
      <c r="C260" s="185" t="s">
        <v>358</v>
      </c>
      <c r="D260" s="191">
        <v>26768038000</v>
      </c>
      <c r="E260" s="191"/>
      <c r="F260" s="191">
        <f>SUM(F261:F262)</f>
        <v>0</v>
      </c>
      <c r="G260" s="191">
        <f>SUM(G261:G262)</f>
        <v>0</v>
      </c>
      <c r="H260" s="236">
        <f>G260/D260</f>
        <v>0</v>
      </c>
      <c r="I260" s="225" t="s">
        <v>167</v>
      </c>
      <c r="J260" s="186"/>
    </row>
    <row r="261" spans="1:10" s="187" customFormat="1" x14ac:dyDescent="0.25">
      <c r="A261" s="184"/>
      <c r="B261" s="190"/>
      <c r="C261" s="193" t="s">
        <v>650</v>
      </c>
      <c r="D261" s="192"/>
      <c r="E261" s="192"/>
      <c r="F261" s="192"/>
      <c r="G261" s="192">
        <f>E261+F261</f>
        <v>0</v>
      </c>
      <c r="H261" s="24" t="e">
        <f>G261/D261</f>
        <v>#DIV/0!</v>
      </c>
      <c r="I261" s="225"/>
      <c r="J261" s="186"/>
    </row>
    <row r="262" spans="1:10" s="187" customFormat="1" x14ac:dyDescent="0.25">
      <c r="A262" s="184"/>
      <c r="B262" s="190"/>
      <c r="C262" s="193" t="s">
        <v>651</v>
      </c>
      <c r="D262" s="192"/>
      <c r="E262" s="192"/>
      <c r="F262" s="192"/>
      <c r="G262" s="192">
        <f t="shared" ref="G262" si="91">E262+F262</f>
        <v>0</v>
      </c>
      <c r="H262" s="24" t="e">
        <f>G262/D262</f>
        <v>#DIV/0!</v>
      </c>
      <c r="I262" s="225"/>
      <c r="J262" s="186"/>
    </row>
    <row r="263" spans="1:10" s="187" customFormat="1" x14ac:dyDescent="0.25">
      <c r="A263" s="184"/>
      <c r="B263" s="190"/>
      <c r="C263" s="183"/>
      <c r="D263" s="192"/>
      <c r="E263" s="192"/>
      <c r="F263" s="192"/>
      <c r="G263" s="192"/>
      <c r="H263" s="24"/>
      <c r="I263" s="225"/>
      <c r="J263" s="186"/>
    </row>
    <row r="264" spans="1:10" s="187" customFormat="1" x14ac:dyDescent="0.25">
      <c r="A264" s="184" t="s">
        <v>408</v>
      </c>
      <c r="B264" s="189" t="s">
        <v>359</v>
      </c>
      <c r="C264" s="185" t="s">
        <v>360</v>
      </c>
      <c r="D264" s="191">
        <f>SUM(D265:D266)</f>
        <v>0</v>
      </c>
      <c r="E264" s="191">
        <f>SUM(E265:E266)</f>
        <v>0</v>
      </c>
      <c r="F264" s="191">
        <f>SUM(F265:F266)</f>
        <v>0</v>
      </c>
      <c r="G264" s="191">
        <f>SUM(G265:G266)</f>
        <v>0</v>
      </c>
      <c r="H264" s="236" t="e">
        <f>G264/D264</f>
        <v>#DIV/0!</v>
      </c>
      <c r="I264" s="225" t="s">
        <v>167</v>
      </c>
      <c r="J264" s="186"/>
    </row>
    <row r="265" spans="1:10" s="187" customFormat="1" x14ac:dyDescent="0.25">
      <c r="A265" s="184"/>
      <c r="B265" s="190"/>
      <c r="C265" s="193" t="s">
        <v>652</v>
      </c>
      <c r="D265" s="192"/>
      <c r="E265" s="192"/>
      <c r="F265" s="192"/>
      <c r="G265" s="192">
        <f>E265+F265</f>
        <v>0</v>
      </c>
      <c r="H265" s="24" t="e">
        <f>G265/D265</f>
        <v>#DIV/0!</v>
      </c>
      <c r="I265" s="225"/>
      <c r="J265" s="186"/>
    </row>
    <row r="266" spans="1:10" s="187" customFormat="1" x14ac:dyDescent="0.25">
      <c r="A266" s="184"/>
      <c r="B266" s="190"/>
      <c r="C266" s="193" t="s">
        <v>653</v>
      </c>
      <c r="D266" s="192"/>
      <c r="E266" s="192"/>
      <c r="F266" s="192"/>
      <c r="G266" s="192">
        <f t="shared" ref="G266" si="92">E266+F266</f>
        <v>0</v>
      </c>
      <c r="H266" s="24" t="e">
        <f>G266/D266</f>
        <v>#DIV/0!</v>
      </c>
      <c r="I266" s="225"/>
      <c r="J266" s="186"/>
    </row>
    <row r="267" spans="1:10" s="187" customFormat="1" x14ac:dyDescent="0.25">
      <c r="A267" s="184"/>
      <c r="B267" s="190"/>
      <c r="C267" s="183"/>
      <c r="D267" s="192"/>
      <c r="E267" s="192"/>
      <c r="F267" s="192"/>
      <c r="G267" s="192"/>
      <c r="H267" s="24"/>
      <c r="I267" s="225"/>
      <c r="J267" s="186"/>
    </row>
    <row r="268" spans="1:10" s="187" customFormat="1" x14ac:dyDescent="0.25">
      <c r="A268" s="184" t="s">
        <v>409</v>
      </c>
      <c r="B268" s="189" t="s">
        <v>405</v>
      </c>
      <c r="C268" s="185" t="s">
        <v>361</v>
      </c>
      <c r="D268" s="191">
        <v>90682864000</v>
      </c>
      <c r="E268" s="191"/>
      <c r="F268" s="191">
        <f>SUM(F269:F270)</f>
        <v>0</v>
      </c>
      <c r="G268" s="191">
        <f>SUM(G269:G270)</f>
        <v>0</v>
      </c>
      <c r="H268" s="236">
        <f>G268/D268</f>
        <v>0</v>
      </c>
      <c r="I268" s="225" t="s">
        <v>167</v>
      </c>
      <c r="J268" s="186"/>
    </row>
    <row r="269" spans="1:10" s="187" customFormat="1" x14ac:dyDescent="0.25">
      <c r="A269" s="184"/>
      <c r="B269" s="190"/>
      <c r="C269" s="193" t="s">
        <v>654</v>
      </c>
      <c r="D269" s="192"/>
      <c r="E269" s="192"/>
      <c r="F269" s="192"/>
      <c r="G269" s="192">
        <f>E269+F269</f>
        <v>0</v>
      </c>
      <c r="H269" s="24" t="e">
        <f>G269/D269</f>
        <v>#DIV/0!</v>
      </c>
      <c r="I269" s="225"/>
      <c r="J269" s="186"/>
    </row>
    <row r="270" spans="1:10" s="187" customFormat="1" x14ac:dyDescent="0.25">
      <c r="A270" s="184"/>
      <c r="B270" s="190"/>
      <c r="C270" s="193" t="s">
        <v>655</v>
      </c>
      <c r="D270" s="192"/>
      <c r="E270" s="192"/>
      <c r="F270" s="192"/>
      <c r="G270" s="192">
        <f t="shared" ref="G270" si="93">E270+F270</f>
        <v>0</v>
      </c>
      <c r="H270" s="24" t="e">
        <f>G270/D270</f>
        <v>#DIV/0!</v>
      </c>
      <c r="I270" s="225"/>
      <c r="J270" s="186"/>
    </row>
    <row r="271" spans="1:10" s="187" customFormat="1" x14ac:dyDescent="0.25">
      <c r="A271" s="184"/>
      <c r="B271" s="190"/>
      <c r="C271" s="193"/>
      <c r="D271" s="192"/>
      <c r="E271" s="192"/>
      <c r="F271" s="192"/>
      <c r="G271" s="192"/>
      <c r="H271" s="24"/>
      <c r="I271" s="225"/>
      <c r="J271" s="186"/>
    </row>
    <row r="272" spans="1:10" s="187" customFormat="1" x14ac:dyDescent="0.25">
      <c r="A272" s="188" t="s">
        <v>410</v>
      </c>
      <c r="B272" s="189" t="s">
        <v>462</v>
      </c>
      <c r="C272" s="185" t="s">
        <v>463</v>
      </c>
      <c r="D272" s="191">
        <f>SUM(D273:D274)</f>
        <v>0</v>
      </c>
      <c r="E272" s="191"/>
      <c r="F272" s="191">
        <f t="shared" ref="F272:G272" si="94">SUM(F273:F274)</f>
        <v>0</v>
      </c>
      <c r="G272" s="191">
        <f t="shared" si="94"/>
        <v>0</v>
      </c>
      <c r="H272" s="236" t="e">
        <f>G272/D272</f>
        <v>#DIV/0!</v>
      </c>
      <c r="I272" s="225"/>
      <c r="J272" s="186"/>
    </row>
    <row r="273" spans="1:10" s="187" customFormat="1" x14ac:dyDescent="0.25">
      <c r="A273" s="188"/>
      <c r="B273" s="190"/>
      <c r="C273" s="193" t="s">
        <v>656</v>
      </c>
      <c r="D273" s="192">
        <v>0</v>
      </c>
      <c r="E273" s="192"/>
      <c r="F273" s="192"/>
      <c r="G273" s="192">
        <f>E273+F273</f>
        <v>0</v>
      </c>
      <c r="H273" s="24" t="e">
        <f>G273/D273</f>
        <v>#DIV/0!</v>
      </c>
      <c r="I273" s="225"/>
      <c r="J273" s="186"/>
    </row>
    <row r="274" spans="1:10" s="187" customFormat="1" x14ac:dyDescent="0.25">
      <c r="A274" s="188"/>
      <c r="B274" s="190"/>
      <c r="C274" s="193" t="s">
        <v>657</v>
      </c>
      <c r="D274" s="192"/>
      <c r="E274" s="192"/>
      <c r="F274" s="192"/>
      <c r="G274" s="192">
        <f>E274+F274</f>
        <v>0</v>
      </c>
      <c r="H274" s="24" t="e">
        <f>G274/D274</f>
        <v>#DIV/0!</v>
      </c>
      <c r="I274" s="225"/>
      <c r="J274" s="186"/>
    </row>
    <row r="275" spans="1:10" s="187" customFormat="1" x14ac:dyDescent="0.25">
      <c r="A275" s="188"/>
      <c r="B275" s="190"/>
      <c r="C275" s="193"/>
      <c r="D275" s="192"/>
      <c r="E275" s="192"/>
      <c r="F275" s="192"/>
      <c r="G275" s="192"/>
      <c r="H275" s="24"/>
      <c r="I275" s="225"/>
      <c r="J275" s="186"/>
    </row>
    <row r="276" spans="1:10" s="187" customFormat="1" x14ac:dyDescent="0.25">
      <c r="A276" s="188" t="s">
        <v>411</v>
      </c>
      <c r="B276" s="189" t="s">
        <v>362</v>
      </c>
      <c r="C276" s="185" t="s">
        <v>363</v>
      </c>
      <c r="D276" s="191">
        <v>1503616000</v>
      </c>
      <c r="E276" s="191"/>
      <c r="F276" s="191">
        <f t="shared" ref="F276:G276" si="95">SUM(F277:F278)</f>
        <v>300723200</v>
      </c>
      <c r="G276" s="191">
        <f t="shared" si="95"/>
        <v>300723200</v>
      </c>
      <c r="H276" s="236">
        <f>G276/D276</f>
        <v>0.2</v>
      </c>
      <c r="I276" s="225" t="s">
        <v>167</v>
      </c>
      <c r="J276" s="186"/>
    </row>
    <row r="277" spans="1:10" s="187" customFormat="1" x14ac:dyDescent="0.25">
      <c r="A277" s="188"/>
      <c r="B277" s="190"/>
      <c r="C277" s="193" t="s">
        <v>658</v>
      </c>
      <c r="D277" s="192"/>
      <c r="E277" s="192"/>
      <c r="F277" s="192">
        <v>300723200</v>
      </c>
      <c r="G277" s="192">
        <f>E277+F277</f>
        <v>300723200</v>
      </c>
      <c r="H277" s="24" t="e">
        <f>G277/D277</f>
        <v>#DIV/0!</v>
      </c>
      <c r="I277" s="225"/>
      <c r="J277" s="186"/>
    </row>
    <row r="278" spans="1:10" s="187" customFormat="1" x14ac:dyDescent="0.25">
      <c r="A278" s="188"/>
      <c r="B278" s="190"/>
      <c r="C278" s="193" t="s">
        <v>659</v>
      </c>
      <c r="D278" s="192"/>
      <c r="E278" s="192"/>
      <c r="F278" s="192"/>
      <c r="G278" s="192">
        <f>E278+F278</f>
        <v>0</v>
      </c>
      <c r="H278" s="24" t="e">
        <f>G278/D278</f>
        <v>#DIV/0!</v>
      </c>
      <c r="I278" s="225"/>
      <c r="J278" s="186"/>
    </row>
    <row r="279" spans="1:10" s="187" customFormat="1" x14ac:dyDescent="0.25">
      <c r="A279" s="188"/>
      <c r="B279" s="190"/>
      <c r="C279" s="193"/>
      <c r="D279" s="192"/>
      <c r="E279" s="192"/>
      <c r="F279" s="192"/>
      <c r="G279" s="192">
        <f t="shared" ref="G279" si="96">F279</f>
        <v>0</v>
      </c>
      <c r="H279" s="24"/>
      <c r="I279" s="225"/>
      <c r="J279" s="186"/>
    </row>
    <row r="280" spans="1:10" s="187" customFormat="1" x14ac:dyDescent="0.25">
      <c r="A280" s="188" t="s">
        <v>412</v>
      </c>
      <c r="B280" s="189" t="s">
        <v>364</v>
      </c>
      <c r="C280" s="185" t="s">
        <v>365</v>
      </c>
      <c r="D280" s="191">
        <v>8397488000</v>
      </c>
      <c r="E280" s="191"/>
      <c r="F280" s="191">
        <f t="shared" ref="F280:G280" si="97">F281+F282</f>
        <v>0</v>
      </c>
      <c r="G280" s="191">
        <f t="shared" si="97"/>
        <v>0</v>
      </c>
      <c r="H280" s="236">
        <f>G280/D280</f>
        <v>0</v>
      </c>
      <c r="I280" s="225" t="s">
        <v>167</v>
      </c>
      <c r="J280" s="186"/>
    </row>
    <row r="281" spans="1:10" s="187" customFormat="1" x14ac:dyDescent="0.25">
      <c r="A281" s="188"/>
      <c r="B281" s="190"/>
      <c r="C281" s="193" t="s">
        <v>660</v>
      </c>
      <c r="D281" s="192"/>
      <c r="E281" s="192"/>
      <c r="F281" s="192"/>
      <c r="G281" s="192">
        <f>F281</f>
        <v>0</v>
      </c>
      <c r="H281" s="24" t="e">
        <f>G281/D281</f>
        <v>#DIV/0!</v>
      </c>
      <c r="I281" s="225"/>
      <c r="J281" s="186"/>
    </row>
    <row r="282" spans="1:10" s="187" customFormat="1" x14ac:dyDescent="0.25">
      <c r="A282" s="188"/>
      <c r="B282" s="190"/>
      <c r="C282" s="35" t="s">
        <v>529</v>
      </c>
      <c r="D282" s="191">
        <f>SUM(D283:D283)</f>
        <v>0</v>
      </c>
      <c r="E282" s="191"/>
      <c r="F282" s="191">
        <f>SUM(F283:F283)</f>
        <v>0</v>
      </c>
      <c r="G282" s="191">
        <f>SUM(G283:G283)</f>
        <v>0</v>
      </c>
      <c r="H282" s="236" t="e">
        <f>G282/D282</f>
        <v>#DIV/0!</v>
      </c>
      <c r="I282" s="225"/>
      <c r="J282" s="186"/>
    </row>
    <row r="283" spans="1:10" s="187" customFormat="1" x14ac:dyDescent="0.25">
      <c r="A283" s="188"/>
      <c r="B283" s="190"/>
      <c r="C283" s="193" t="s">
        <v>661</v>
      </c>
      <c r="D283" s="192"/>
      <c r="E283" s="192"/>
      <c r="F283" s="192"/>
      <c r="G283" s="192">
        <f>F283</f>
        <v>0</v>
      </c>
      <c r="H283" s="24" t="e">
        <f>G283/D283</f>
        <v>#DIV/0!</v>
      </c>
      <c r="I283" s="225"/>
      <c r="J283" s="186"/>
    </row>
    <row r="284" spans="1:10" s="187" customFormat="1" x14ac:dyDescent="0.25">
      <c r="A284" s="188"/>
      <c r="B284" s="190"/>
      <c r="C284" s="193"/>
      <c r="D284" s="192"/>
      <c r="E284" s="192"/>
      <c r="F284" s="192"/>
      <c r="G284" s="192"/>
      <c r="H284" s="24"/>
      <c r="I284" s="225"/>
      <c r="J284" s="186"/>
    </row>
    <row r="285" spans="1:10" s="187" customFormat="1" hidden="1" x14ac:dyDescent="0.25">
      <c r="A285" s="188" t="s">
        <v>464</v>
      </c>
      <c r="B285" s="189" t="s">
        <v>466</v>
      </c>
      <c r="C285" s="185" t="s">
        <v>467</v>
      </c>
      <c r="D285" s="191">
        <f>SUM(D286)</f>
        <v>0</v>
      </c>
      <c r="E285" s="191"/>
      <c r="F285" s="191">
        <f t="shared" ref="F285:G285" si="98">SUM(F286:F287)</f>
        <v>0</v>
      </c>
      <c r="G285" s="191" t="e">
        <f t="shared" si="98"/>
        <v>#REF!</v>
      </c>
      <c r="H285" s="24"/>
      <c r="I285" s="225"/>
      <c r="J285" s="186"/>
    </row>
    <row r="286" spans="1:10" s="187" customFormat="1" hidden="1" x14ac:dyDescent="0.25">
      <c r="A286" s="188"/>
      <c r="B286" s="190"/>
      <c r="C286" s="193" t="s">
        <v>487</v>
      </c>
      <c r="D286" s="192">
        <v>0</v>
      </c>
      <c r="E286" s="192"/>
      <c r="F286" s="192">
        <v>0</v>
      </c>
      <c r="G286" s="192" t="e">
        <f>#REF!+F286</f>
        <v>#REF!</v>
      </c>
      <c r="H286" s="24"/>
      <c r="I286" s="225"/>
      <c r="J286" s="186"/>
    </row>
    <row r="287" spans="1:10" s="187" customFormat="1" hidden="1" x14ac:dyDescent="0.25">
      <c r="A287" s="188"/>
      <c r="B287" s="190"/>
      <c r="C287" s="193"/>
      <c r="D287" s="192"/>
      <c r="E287" s="192"/>
      <c r="F287" s="192"/>
      <c r="G287" s="192"/>
      <c r="H287" s="24"/>
      <c r="I287" s="225"/>
      <c r="J287" s="186"/>
    </row>
    <row r="288" spans="1:10" s="187" customFormat="1" x14ac:dyDescent="0.25">
      <c r="A288" s="188" t="s">
        <v>465</v>
      </c>
      <c r="B288" s="189" t="s">
        <v>366</v>
      </c>
      <c r="C288" s="185" t="s">
        <v>367</v>
      </c>
      <c r="D288" s="191">
        <v>1918826000</v>
      </c>
      <c r="E288" s="191"/>
      <c r="F288" s="191">
        <f t="shared" ref="F288:G288" si="99">F289+F290</f>
        <v>287823900</v>
      </c>
      <c r="G288" s="191">
        <f t="shared" si="99"/>
        <v>287823900</v>
      </c>
      <c r="H288" s="236">
        <f>G288/D288</f>
        <v>0.15</v>
      </c>
      <c r="I288" s="225" t="s">
        <v>167</v>
      </c>
      <c r="J288" s="186"/>
    </row>
    <row r="289" spans="1:10" s="187" customFormat="1" x14ac:dyDescent="0.25">
      <c r="A289" s="188"/>
      <c r="B289" s="190"/>
      <c r="C289" s="193" t="s">
        <v>662</v>
      </c>
      <c r="D289" s="192"/>
      <c r="E289" s="192"/>
      <c r="F289" s="192">
        <v>287823900</v>
      </c>
      <c r="G289" s="192">
        <f>E289+F289</f>
        <v>287823900</v>
      </c>
      <c r="H289" s="24" t="e">
        <f>G289/D289</f>
        <v>#DIV/0!</v>
      </c>
      <c r="I289" s="225"/>
      <c r="J289" s="186"/>
    </row>
    <row r="290" spans="1:10" s="187" customFormat="1" x14ac:dyDescent="0.25">
      <c r="A290" s="188"/>
      <c r="B290" s="190"/>
      <c r="C290" s="35" t="s">
        <v>530</v>
      </c>
      <c r="D290" s="191">
        <f>SUM(D291:D291)</f>
        <v>0</v>
      </c>
      <c r="E290" s="191"/>
      <c r="F290" s="191">
        <f>SUM(F291:F291)</f>
        <v>0</v>
      </c>
      <c r="G290" s="191">
        <f>SUM(G291:G291)</f>
        <v>0</v>
      </c>
      <c r="H290" s="236" t="e">
        <f>G290/D290</f>
        <v>#DIV/0!</v>
      </c>
      <c r="I290" s="225"/>
      <c r="J290" s="186"/>
    </row>
    <row r="291" spans="1:10" s="187" customFormat="1" x14ac:dyDescent="0.25">
      <c r="A291" s="188"/>
      <c r="B291" s="190"/>
      <c r="C291" s="193" t="s">
        <v>663</v>
      </c>
      <c r="D291" s="192"/>
      <c r="E291" s="192"/>
      <c r="F291" s="192"/>
      <c r="G291" s="192">
        <f>E291+F291</f>
        <v>0</v>
      </c>
      <c r="H291" s="24" t="e">
        <f>G291/D291</f>
        <v>#DIV/0!</v>
      </c>
      <c r="I291" s="225"/>
      <c r="J291" s="186"/>
    </row>
    <row r="292" spans="1:10" s="176" customFormat="1" x14ac:dyDescent="0.25">
      <c r="A292" s="27"/>
      <c r="B292" s="178"/>
      <c r="C292" s="183"/>
      <c r="D292" s="192"/>
      <c r="E292" s="192"/>
      <c r="F292" s="192"/>
      <c r="G292" s="191"/>
      <c r="H292" s="236"/>
      <c r="I292" s="224"/>
      <c r="J292" s="175"/>
    </row>
    <row r="293" spans="1:10" s="176" customFormat="1" x14ac:dyDescent="0.25">
      <c r="A293" s="138" t="s">
        <v>169</v>
      </c>
      <c r="B293" s="139" t="s">
        <v>368</v>
      </c>
      <c r="C293" s="140" t="s">
        <v>369</v>
      </c>
      <c r="D293" s="142">
        <v>429554051000</v>
      </c>
      <c r="E293" s="142"/>
      <c r="F293" s="142">
        <f>34812370000+35796170000</f>
        <v>70608540000</v>
      </c>
      <c r="G293" s="141">
        <f>F293</f>
        <v>70608540000</v>
      </c>
      <c r="H293" s="240">
        <f>G293/D293</f>
        <v>0.16437638019155826</v>
      </c>
      <c r="I293" s="225" t="s">
        <v>468</v>
      </c>
      <c r="J293" s="175"/>
    </row>
    <row r="294" spans="1:10" s="176" customFormat="1" x14ac:dyDescent="0.25">
      <c r="A294" s="27"/>
      <c r="B294" s="178"/>
      <c r="C294" s="39"/>
      <c r="D294" s="38"/>
      <c r="E294" s="38"/>
      <c r="F294" s="38"/>
      <c r="G294" s="38"/>
      <c r="H294" s="241"/>
      <c r="I294" s="225"/>
      <c r="J294" s="175"/>
    </row>
    <row r="295" spans="1:10" s="176" customFormat="1" x14ac:dyDescent="0.25">
      <c r="A295" s="138" t="s">
        <v>170</v>
      </c>
      <c r="B295" s="139" t="s">
        <v>370</v>
      </c>
      <c r="C295" s="140" t="s">
        <v>371</v>
      </c>
      <c r="D295" s="141">
        <f>SUM(D297+D348+D325)</f>
        <v>7340205000</v>
      </c>
      <c r="E295" s="141">
        <f t="shared" ref="E295:G295" si="100">SUM(E297+E348+E325)</f>
        <v>0</v>
      </c>
      <c r="F295" s="141">
        <f t="shared" si="100"/>
        <v>0</v>
      </c>
      <c r="G295" s="141">
        <f t="shared" si="100"/>
        <v>0</v>
      </c>
      <c r="H295" s="240">
        <f>G295/D295</f>
        <v>0</v>
      </c>
      <c r="I295" s="225" t="s">
        <v>469</v>
      </c>
      <c r="J295" s="175"/>
    </row>
    <row r="296" spans="1:10" s="176" customFormat="1" x14ac:dyDescent="0.25">
      <c r="A296" s="40"/>
      <c r="B296" s="22"/>
      <c r="C296" s="185"/>
      <c r="D296" s="191"/>
      <c r="E296" s="191"/>
      <c r="F296" s="191"/>
      <c r="G296" s="191"/>
      <c r="H296" s="236"/>
      <c r="I296" s="224"/>
      <c r="J296" s="175"/>
    </row>
    <row r="297" spans="1:10" s="176" customFormat="1" ht="38.25" customHeight="1" x14ac:dyDescent="0.25">
      <c r="A297" s="293"/>
      <c r="B297" s="262" t="s">
        <v>413</v>
      </c>
      <c r="C297" s="41" t="s">
        <v>171</v>
      </c>
      <c r="D297" s="42">
        <f>SUM(D303+D309+D311+D313+D315+D317+D319+D298+D322)</f>
        <v>7340205000</v>
      </c>
      <c r="E297" s="42">
        <f t="shared" ref="E297:F297" si="101">SUM(E303+E309+E311+E313+E315+E317+E319+E298+E322)</f>
        <v>0</v>
      </c>
      <c r="F297" s="42">
        <f t="shared" si="101"/>
        <v>0</v>
      </c>
      <c r="G297" s="42">
        <f>G298+G303+G313+G315+G319+G322</f>
        <v>0</v>
      </c>
      <c r="H297" s="237">
        <f t="shared" ref="H297:H308" si="102">G297/D297</f>
        <v>0</v>
      </c>
      <c r="I297" s="225" t="s">
        <v>470</v>
      </c>
      <c r="J297" s="175"/>
    </row>
    <row r="298" spans="1:10" s="176" customFormat="1" x14ac:dyDescent="0.25">
      <c r="A298" s="40"/>
      <c r="B298" s="43">
        <v>1</v>
      </c>
      <c r="C298" s="185" t="s">
        <v>172</v>
      </c>
      <c r="D298" s="191">
        <f>SUM(D299:D302)</f>
        <v>0</v>
      </c>
      <c r="E298" s="191">
        <f t="shared" ref="E298:G298" si="103">SUM(E299:E302)</f>
        <v>0</v>
      </c>
      <c r="F298" s="191">
        <f t="shared" si="103"/>
        <v>0</v>
      </c>
      <c r="G298" s="191">
        <f t="shared" si="103"/>
        <v>0</v>
      </c>
      <c r="H298" s="236" t="e">
        <f t="shared" si="102"/>
        <v>#DIV/0!</v>
      </c>
      <c r="I298" s="225"/>
      <c r="J298" s="175"/>
    </row>
    <row r="299" spans="1:10" s="176" customFormat="1" x14ac:dyDescent="0.25">
      <c r="A299" s="40"/>
      <c r="B299" s="190" t="s">
        <v>531</v>
      </c>
      <c r="C299" s="193" t="s">
        <v>173</v>
      </c>
      <c r="D299" s="192"/>
      <c r="E299" s="192"/>
      <c r="F299" s="192"/>
      <c r="G299" s="192">
        <f>E299+F299</f>
        <v>0</v>
      </c>
      <c r="H299" s="24" t="e">
        <f t="shared" si="102"/>
        <v>#DIV/0!</v>
      </c>
      <c r="I299" s="225" t="s">
        <v>471</v>
      </c>
      <c r="J299" s="175"/>
    </row>
    <row r="300" spans="1:10" s="176" customFormat="1" x14ac:dyDescent="0.25">
      <c r="A300" s="40"/>
      <c r="B300" s="190" t="s">
        <v>532</v>
      </c>
      <c r="C300" s="193" t="s">
        <v>174</v>
      </c>
      <c r="D300" s="192"/>
      <c r="E300" s="192"/>
      <c r="F300" s="192"/>
      <c r="G300" s="192">
        <f t="shared" ref="G300:G302" si="104">E300+F300</f>
        <v>0</v>
      </c>
      <c r="H300" s="24" t="e">
        <f t="shared" si="102"/>
        <v>#DIV/0!</v>
      </c>
      <c r="I300" s="225" t="s">
        <v>471</v>
      </c>
      <c r="J300" s="175"/>
    </row>
    <row r="301" spans="1:10" s="176" customFormat="1" x14ac:dyDescent="0.25">
      <c r="A301" s="40"/>
      <c r="B301" s="190" t="s">
        <v>533</v>
      </c>
      <c r="C301" s="193" t="s">
        <v>175</v>
      </c>
      <c r="D301" s="192"/>
      <c r="E301" s="192"/>
      <c r="F301" s="192"/>
      <c r="G301" s="192">
        <f t="shared" si="104"/>
        <v>0</v>
      </c>
      <c r="H301" s="24" t="e">
        <f t="shared" si="102"/>
        <v>#DIV/0!</v>
      </c>
      <c r="I301" s="225" t="s">
        <v>471</v>
      </c>
      <c r="J301" s="175"/>
    </row>
    <row r="302" spans="1:10" s="176" customFormat="1" x14ac:dyDescent="0.25">
      <c r="A302" s="40"/>
      <c r="B302" s="190" t="s">
        <v>534</v>
      </c>
      <c r="C302" s="193" t="s">
        <v>176</v>
      </c>
      <c r="D302" s="192"/>
      <c r="E302" s="192"/>
      <c r="F302" s="192"/>
      <c r="G302" s="192">
        <f t="shared" si="104"/>
        <v>0</v>
      </c>
      <c r="H302" s="24" t="e">
        <f t="shared" si="102"/>
        <v>#DIV/0!</v>
      </c>
      <c r="I302" s="225" t="s">
        <v>471</v>
      </c>
      <c r="J302" s="175"/>
    </row>
    <row r="303" spans="1:10" s="176" customFormat="1" x14ac:dyDescent="0.25">
      <c r="A303" s="40"/>
      <c r="B303" s="43">
        <v>2</v>
      </c>
      <c r="C303" s="185" t="s">
        <v>177</v>
      </c>
      <c r="D303" s="191">
        <f>SUM(D304:D308)</f>
        <v>0</v>
      </c>
      <c r="E303" s="191">
        <f t="shared" ref="E303:G303" si="105">SUM(E304:E308)</f>
        <v>0</v>
      </c>
      <c r="F303" s="191">
        <f t="shared" si="105"/>
        <v>0</v>
      </c>
      <c r="G303" s="191">
        <f t="shared" si="105"/>
        <v>0</v>
      </c>
      <c r="H303" s="236" t="e">
        <f t="shared" si="102"/>
        <v>#DIV/0!</v>
      </c>
      <c r="I303" s="225"/>
      <c r="J303" s="175"/>
    </row>
    <row r="304" spans="1:10" s="176" customFormat="1" x14ac:dyDescent="0.25">
      <c r="A304" s="40"/>
      <c r="B304" s="190" t="s">
        <v>535</v>
      </c>
      <c r="C304" s="193" t="s">
        <v>178</v>
      </c>
      <c r="D304" s="192"/>
      <c r="E304" s="192"/>
      <c r="F304" s="192"/>
      <c r="G304" s="192">
        <f>E304+F304</f>
        <v>0</v>
      </c>
      <c r="H304" s="24" t="e">
        <f t="shared" si="102"/>
        <v>#DIV/0!</v>
      </c>
      <c r="I304" s="225" t="s">
        <v>471</v>
      </c>
      <c r="J304" s="175"/>
    </row>
    <row r="305" spans="1:10" s="176" customFormat="1" x14ac:dyDescent="0.25">
      <c r="A305" s="40"/>
      <c r="B305" s="190" t="s">
        <v>536</v>
      </c>
      <c r="C305" s="193" t="s">
        <v>372</v>
      </c>
      <c r="D305" s="192"/>
      <c r="E305" s="192"/>
      <c r="F305" s="192"/>
      <c r="G305" s="192">
        <f t="shared" ref="G305:G316" si="106">E305+F305</f>
        <v>0</v>
      </c>
      <c r="H305" s="24" t="e">
        <f t="shared" si="102"/>
        <v>#DIV/0!</v>
      </c>
      <c r="I305" s="225" t="s">
        <v>471</v>
      </c>
      <c r="J305" s="175"/>
    </row>
    <row r="306" spans="1:10" s="176" customFormat="1" x14ac:dyDescent="0.25">
      <c r="A306" s="40"/>
      <c r="B306" s="190" t="s">
        <v>537</v>
      </c>
      <c r="C306" s="193" t="s">
        <v>179</v>
      </c>
      <c r="D306" s="192"/>
      <c r="E306" s="192"/>
      <c r="F306" s="192"/>
      <c r="G306" s="192">
        <f t="shared" si="106"/>
        <v>0</v>
      </c>
      <c r="H306" s="24" t="e">
        <f t="shared" si="102"/>
        <v>#DIV/0!</v>
      </c>
      <c r="I306" s="225" t="s">
        <v>471</v>
      </c>
      <c r="J306" s="175"/>
    </row>
    <row r="307" spans="1:10" s="176" customFormat="1" x14ac:dyDescent="0.25">
      <c r="A307" s="40"/>
      <c r="B307" s="190" t="s">
        <v>538</v>
      </c>
      <c r="C307" s="193" t="s">
        <v>180</v>
      </c>
      <c r="D307" s="192"/>
      <c r="E307" s="192"/>
      <c r="F307" s="192"/>
      <c r="G307" s="192">
        <f t="shared" si="106"/>
        <v>0</v>
      </c>
      <c r="H307" s="24" t="e">
        <f t="shared" si="102"/>
        <v>#DIV/0!</v>
      </c>
      <c r="I307" s="225" t="s">
        <v>471</v>
      </c>
      <c r="J307" s="175"/>
    </row>
    <row r="308" spans="1:10" s="176" customFormat="1" x14ac:dyDescent="0.25">
      <c r="A308" s="40"/>
      <c r="B308" s="190" t="s">
        <v>373</v>
      </c>
      <c r="C308" s="193" t="s">
        <v>181</v>
      </c>
      <c r="D308" s="192"/>
      <c r="E308" s="192"/>
      <c r="F308" s="192"/>
      <c r="G308" s="192">
        <f t="shared" si="106"/>
        <v>0</v>
      </c>
      <c r="H308" s="24" t="e">
        <f t="shared" si="102"/>
        <v>#DIV/0!</v>
      </c>
      <c r="I308" s="225" t="s">
        <v>471</v>
      </c>
      <c r="J308" s="175"/>
    </row>
    <row r="309" spans="1:10" s="176" customFormat="1" hidden="1" x14ac:dyDescent="0.25">
      <c r="A309" s="40"/>
      <c r="B309" s="43">
        <v>3</v>
      </c>
      <c r="C309" s="185" t="s">
        <v>182</v>
      </c>
      <c r="D309" s="191">
        <f>SUM(D310:D310)</f>
        <v>0</v>
      </c>
      <c r="E309" s="191"/>
      <c r="F309" s="191"/>
      <c r="G309" s="192">
        <f t="shared" si="106"/>
        <v>0</v>
      </c>
      <c r="H309" s="236">
        <v>0</v>
      </c>
      <c r="I309" s="224"/>
      <c r="J309" s="175"/>
    </row>
    <row r="310" spans="1:10" s="176" customFormat="1" hidden="1" x14ac:dyDescent="0.25">
      <c r="A310" s="40"/>
      <c r="B310" s="44"/>
      <c r="C310" s="193" t="s">
        <v>183</v>
      </c>
      <c r="D310" s="192">
        <v>0</v>
      </c>
      <c r="E310" s="192"/>
      <c r="F310" s="192"/>
      <c r="G310" s="192">
        <f t="shared" si="106"/>
        <v>0</v>
      </c>
      <c r="H310" s="24">
        <v>0</v>
      </c>
      <c r="I310" s="223"/>
      <c r="J310" s="175"/>
    </row>
    <row r="311" spans="1:10" s="176" customFormat="1" hidden="1" x14ac:dyDescent="0.25">
      <c r="A311" s="40"/>
      <c r="B311" s="43">
        <v>4</v>
      </c>
      <c r="C311" s="185" t="s">
        <v>184</v>
      </c>
      <c r="D311" s="191">
        <f>SUM(D312:D312)</f>
        <v>0</v>
      </c>
      <c r="E311" s="191"/>
      <c r="F311" s="191"/>
      <c r="G311" s="192">
        <f t="shared" si="106"/>
        <v>0</v>
      </c>
      <c r="H311" s="236">
        <v>0</v>
      </c>
      <c r="I311" s="223"/>
      <c r="J311" s="175"/>
    </row>
    <row r="312" spans="1:10" s="176" customFormat="1" hidden="1" x14ac:dyDescent="0.25">
      <c r="A312" s="40"/>
      <c r="B312" s="44"/>
      <c r="C312" s="193" t="s">
        <v>185</v>
      </c>
      <c r="D312" s="192">
        <v>0</v>
      </c>
      <c r="E312" s="192"/>
      <c r="F312" s="192"/>
      <c r="G312" s="192">
        <f t="shared" si="106"/>
        <v>0</v>
      </c>
      <c r="H312" s="24">
        <v>0</v>
      </c>
      <c r="I312" s="223"/>
      <c r="J312" s="175"/>
    </row>
    <row r="313" spans="1:10" s="176" customFormat="1" x14ac:dyDescent="0.25">
      <c r="A313" s="40"/>
      <c r="B313" s="43">
        <v>3</v>
      </c>
      <c r="C313" s="35" t="s">
        <v>186</v>
      </c>
      <c r="D313" s="191">
        <f>SUM(D314:D314)</f>
        <v>0</v>
      </c>
      <c r="E313" s="191">
        <f t="shared" ref="E313:G313" si="107">SUM(E314:E314)</f>
        <v>0</v>
      </c>
      <c r="F313" s="191">
        <f t="shared" si="107"/>
        <v>0</v>
      </c>
      <c r="G313" s="191">
        <f t="shared" si="107"/>
        <v>0</v>
      </c>
      <c r="H313" s="236"/>
      <c r="I313" s="223"/>
      <c r="J313" s="175"/>
    </row>
    <row r="314" spans="1:10" s="176" customFormat="1" x14ac:dyDescent="0.25">
      <c r="A314" s="40"/>
      <c r="B314" s="190" t="s">
        <v>374</v>
      </c>
      <c r="C314" s="193" t="s">
        <v>187</v>
      </c>
      <c r="D314" s="192">
        <v>0</v>
      </c>
      <c r="E314" s="192"/>
      <c r="F314" s="192"/>
      <c r="G314" s="192">
        <f t="shared" si="106"/>
        <v>0</v>
      </c>
      <c r="H314" s="24"/>
      <c r="I314" s="225"/>
      <c r="J314" s="175"/>
    </row>
    <row r="315" spans="1:10" s="176" customFormat="1" x14ac:dyDescent="0.25">
      <c r="A315" s="40"/>
      <c r="B315" s="43">
        <v>4</v>
      </c>
      <c r="C315" s="185" t="s">
        <v>188</v>
      </c>
      <c r="D315" s="191">
        <f>SUM(D316)</f>
        <v>0</v>
      </c>
      <c r="E315" s="191">
        <f t="shared" ref="E315:G315" si="108">SUM(E316)</f>
        <v>0</v>
      </c>
      <c r="F315" s="191">
        <f t="shared" si="108"/>
        <v>0</v>
      </c>
      <c r="G315" s="191">
        <f t="shared" si="108"/>
        <v>0</v>
      </c>
      <c r="H315" s="236"/>
      <c r="I315" s="223"/>
      <c r="J315" s="175"/>
    </row>
    <row r="316" spans="1:10" s="176" customFormat="1" x14ac:dyDescent="0.25">
      <c r="A316" s="40"/>
      <c r="B316" s="190" t="s">
        <v>375</v>
      </c>
      <c r="C316" s="193" t="s">
        <v>189</v>
      </c>
      <c r="D316" s="192">
        <v>0</v>
      </c>
      <c r="E316" s="192"/>
      <c r="F316" s="192"/>
      <c r="G316" s="192">
        <f t="shared" si="106"/>
        <v>0</v>
      </c>
      <c r="H316" s="24"/>
      <c r="I316" s="225"/>
      <c r="J316" s="175"/>
    </row>
    <row r="317" spans="1:10" s="176" customFormat="1" hidden="1" x14ac:dyDescent="0.25">
      <c r="A317" s="40"/>
      <c r="B317" s="43">
        <v>5</v>
      </c>
      <c r="C317" s="185" t="s">
        <v>190</v>
      </c>
      <c r="D317" s="191">
        <f>SUM(D318)</f>
        <v>0</v>
      </c>
      <c r="E317" s="191"/>
      <c r="F317" s="191">
        <f>SUM(F318)</f>
        <v>0</v>
      </c>
      <c r="G317" s="192" t="e">
        <f>#REF!+F317</f>
        <v>#REF!</v>
      </c>
      <c r="H317" s="236">
        <v>0</v>
      </c>
      <c r="I317" s="224"/>
      <c r="J317" s="175"/>
    </row>
    <row r="318" spans="1:10" s="176" customFormat="1" hidden="1" x14ac:dyDescent="0.25">
      <c r="A318" s="40"/>
      <c r="B318" s="44"/>
      <c r="C318" s="193" t="s">
        <v>191</v>
      </c>
      <c r="D318" s="192">
        <v>0</v>
      </c>
      <c r="E318" s="192"/>
      <c r="F318" s="192">
        <v>0</v>
      </c>
      <c r="G318" s="192" t="e">
        <f>#REF!+F318</f>
        <v>#REF!</v>
      </c>
      <c r="H318" s="24">
        <v>0</v>
      </c>
      <c r="I318" s="223"/>
      <c r="J318" s="175"/>
    </row>
    <row r="319" spans="1:10" s="176" customFormat="1" x14ac:dyDescent="0.25">
      <c r="A319" s="40"/>
      <c r="B319" s="43">
        <v>5</v>
      </c>
      <c r="C319" s="185" t="s">
        <v>192</v>
      </c>
      <c r="D319" s="191">
        <f>SUM(D320:D321)</f>
        <v>0</v>
      </c>
      <c r="E319" s="191">
        <f t="shared" ref="E319:G319" si="109">SUM(E320:E321)</f>
        <v>0</v>
      </c>
      <c r="F319" s="191">
        <f t="shared" si="109"/>
        <v>0</v>
      </c>
      <c r="G319" s="191">
        <f t="shared" si="109"/>
        <v>0</v>
      </c>
      <c r="H319" s="236" t="e">
        <f>G319/D319</f>
        <v>#DIV/0!</v>
      </c>
      <c r="I319" s="223"/>
      <c r="J319" s="175"/>
    </row>
    <row r="320" spans="1:10" s="176" customFormat="1" x14ac:dyDescent="0.25">
      <c r="A320" s="40"/>
      <c r="B320" s="190" t="s">
        <v>539</v>
      </c>
      <c r="C320" s="193" t="s">
        <v>193</v>
      </c>
      <c r="D320" s="192"/>
      <c r="E320" s="192"/>
      <c r="F320" s="192"/>
      <c r="G320" s="192">
        <f>E320+F320</f>
        <v>0</v>
      </c>
      <c r="H320" s="24" t="e">
        <f>G320/D320</f>
        <v>#DIV/0!</v>
      </c>
      <c r="I320" s="225" t="s">
        <v>470</v>
      </c>
      <c r="J320" s="175"/>
    </row>
    <row r="321" spans="1:10" s="176" customFormat="1" x14ac:dyDescent="0.25">
      <c r="A321" s="40"/>
      <c r="B321" s="190" t="s">
        <v>540</v>
      </c>
      <c r="C321" s="193" t="s">
        <v>194</v>
      </c>
      <c r="D321" s="192"/>
      <c r="E321" s="192"/>
      <c r="F321" s="192"/>
      <c r="G321" s="192">
        <f>E321+F321</f>
        <v>0</v>
      </c>
      <c r="H321" s="24" t="e">
        <f>G321/D321</f>
        <v>#DIV/0!</v>
      </c>
      <c r="I321" s="225" t="s">
        <v>470</v>
      </c>
      <c r="J321" s="175"/>
    </row>
    <row r="322" spans="1:10" s="176" customFormat="1" x14ac:dyDescent="0.25">
      <c r="A322" s="40"/>
      <c r="B322" s="43">
        <v>6</v>
      </c>
      <c r="C322" s="170" t="s">
        <v>206</v>
      </c>
      <c r="D322" s="191">
        <f>D323</f>
        <v>7340205000</v>
      </c>
      <c r="E322" s="191">
        <f t="shared" ref="E322:G322" si="110">E323</f>
        <v>0</v>
      </c>
      <c r="F322" s="191">
        <f t="shared" si="110"/>
        <v>0</v>
      </c>
      <c r="G322" s="191">
        <f t="shared" si="110"/>
        <v>0</v>
      </c>
      <c r="H322" s="236">
        <f>G322/D322</f>
        <v>0</v>
      </c>
      <c r="I322" s="225"/>
      <c r="J322" s="175"/>
    </row>
    <row r="323" spans="1:10" s="176" customFormat="1" x14ac:dyDescent="0.25">
      <c r="A323" s="40"/>
      <c r="B323" s="190"/>
      <c r="C323" s="48" t="s">
        <v>210</v>
      </c>
      <c r="D323" s="192">
        <v>7340205000</v>
      </c>
      <c r="E323" s="192"/>
      <c r="F323" s="192"/>
      <c r="G323" s="192"/>
      <c r="H323" s="24">
        <f>G323/D323</f>
        <v>0</v>
      </c>
      <c r="I323" s="225"/>
      <c r="J323" s="175"/>
    </row>
    <row r="324" spans="1:10" s="176" customFormat="1" x14ac:dyDescent="0.25">
      <c r="A324" s="40"/>
      <c r="B324" s="178"/>
      <c r="C324" s="183"/>
      <c r="D324" s="192"/>
      <c r="E324" s="192"/>
      <c r="F324" s="192"/>
      <c r="G324" s="191"/>
      <c r="H324" s="236"/>
      <c r="I324" s="224"/>
      <c r="J324" s="175"/>
    </row>
    <row r="325" spans="1:10" s="176" customFormat="1" ht="37.5" hidden="1" customHeight="1" x14ac:dyDescent="0.25">
      <c r="A325" s="293"/>
      <c r="B325" s="262" t="s">
        <v>414</v>
      </c>
      <c r="C325" s="45" t="s">
        <v>195</v>
      </c>
      <c r="D325" s="42">
        <f>SUM(D326+D335+D337+D339+D341+D343+D345)</f>
        <v>0</v>
      </c>
      <c r="E325" s="42"/>
      <c r="F325" s="42">
        <f t="shared" ref="F325:G325" si="111">SUM(F326+F335+F337+F339+F341+F343+F345)</f>
        <v>0</v>
      </c>
      <c r="G325" s="42">
        <f t="shared" si="111"/>
        <v>0</v>
      </c>
      <c r="H325" s="237" t="e">
        <f>G325/D325</f>
        <v>#DIV/0!</v>
      </c>
      <c r="I325" s="225" t="s">
        <v>469</v>
      </c>
      <c r="J325" s="175"/>
    </row>
    <row r="326" spans="1:10" s="176" customFormat="1" hidden="1" x14ac:dyDescent="0.25">
      <c r="A326" s="40"/>
      <c r="B326" s="43">
        <v>1</v>
      </c>
      <c r="C326" s="185" t="s">
        <v>177</v>
      </c>
      <c r="D326" s="191">
        <f>SUM(D328:D333)</f>
        <v>0</v>
      </c>
      <c r="E326" s="191">
        <f t="shared" ref="E326:G326" si="112">SUM(E328:E333)</f>
        <v>0</v>
      </c>
      <c r="F326" s="191">
        <f t="shared" si="112"/>
        <v>0</v>
      </c>
      <c r="G326" s="191">
        <f t="shared" si="112"/>
        <v>0</v>
      </c>
      <c r="H326" s="236" t="e">
        <f>G326/D326</f>
        <v>#DIV/0!</v>
      </c>
      <c r="I326" s="225"/>
      <c r="J326" s="175"/>
    </row>
    <row r="327" spans="1:10" s="176" customFormat="1" hidden="1" x14ac:dyDescent="0.25">
      <c r="A327" s="40"/>
      <c r="B327" s="44"/>
      <c r="C327" s="193" t="s">
        <v>196</v>
      </c>
      <c r="D327" s="192">
        <v>0</v>
      </c>
      <c r="E327" s="192"/>
      <c r="F327" s="192">
        <v>0</v>
      </c>
      <c r="G327" s="191" t="e">
        <f>#REF!+F327</f>
        <v>#REF!</v>
      </c>
      <c r="H327" s="24">
        <v>0</v>
      </c>
      <c r="I327" s="223"/>
      <c r="J327" s="175"/>
    </row>
    <row r="328" spans="1:10" s="176" customFormat="1" hidden="1" x14ac:dyDescent="0.25">
      <c r="A328" s="40"/>
      <c r="B328" s="190" t="s">
        <v>388</v>
      </c>
      <c r="C328" s="193" t="s">
        <v>197</v>
      </c>
      <c r="D328" s="192">
        <v>0</v>
      </c>
      <c r="E328" s="192"/>
      <c r="F328" s="192"/>
      <c r="G328" s="192">
        <f>E328+F328</f>
        <v>0</v>
      </c>
      <c r="H328" s="24"/>
      <c r="I328" s="225"/>
      <c r="J328" s="175"/>
    </row>
    <row r="329" spans="1:10" s="176" customFormat="1" ht="18" hidden="1" customHeight="1" x14ac:dyDescent="0.25">
      <c r="A329" s="40"/>
      <c r="B329" s="44"/>
      <c r="C329" s="193" t="s">
        <v>198</v>
      </c>
      <c r="D329" s="192"/>
      <c r="E329" s="192"/>
      <c r="F329" s="192"/>
      <c r="G329" s="192">
        <f t="shared" ref="G329:G333" si="113">E329+F329</f>
        <v>0</v>
      </c>
      <c r="H329" s="24"/>
      <c r="I329" s="223"/>
      <c r="J329" s="175"/>
    </row>
    <row r="330" spans="1:10" s="176" customFormat="1" hidden="1" x14ac:dyDescent="0.25">
      <c r="A330" s="40"/>
      <c r="B330" s="190" t="s">
        <v>389</v>
      </c>
      <c r="C330" s="193" t="s">
        <v>199</v>
      </c>
      <c r="D330" s="192">
        <v>0</v>
      </c>
      <c r="E330" s="192"/>
      <c r="F330" s="192"/>
      <c r="G330" s="192">
        <f t="shared" si="113"/>
        <v>0</v>
      </c>
      <c r="H330" s="24"/>
      <c r="I330" s="225"/>
      <c r="J330" s="175"/>
    </row>
    <row r="331" spans="1:10" s="176" customFormat="1" hidden="1" x14ac:dyDescent="0.25">
      <c r="A331" s="40"/>
      <c r="B331" s="44"/>
      <c r="C331" s="193" t="s">
        <v>200</v>
      </c>
      <c r="D331" s="192">
        <v>0</v>
      </c>
      <c r="E331" s="192"/>
      <c r="F331" s="192"/>
      <c r="G331" s="192">
        <f t="shared" si="113"/>
        <v>0</v>
      </c>
      <c r="H331" s="24">
        <v>0</v>
      </c>
      <c r="I331" s="223"/>
      <c r="J331" s="175"/>
    </row>
    <row r="332" spans="1:10" s="176" customFormat="1" hidden="1" x14ac:dyDescent="0.25">
      <c r="A332" s="40"/>
      <c r="B332" s="44"/>
      <c r="C332" s="193" t="s">
        <v>201</v>
      </c>
      <c r="D332" s="192">
        <v>0</v>
      </c>
      <c r="E332" s="192"/>
      <c r="F332" s="192"/>
      <c r="G332" s="192">
        <f t="shared" si="113"/>
        <v>0</v>
      </c>
      <c r="H332" s="24"/>
      <c r="I332" s="225"/>
      <c r="J332" s="175"/>
    </row>
    <row r="333" spans="1:10" s="176" customFormat="1" hidden="1" x14ac:dyDescent="0.25">
      <c r="A333" s="40"/>
      <c r="B333" s="190" t="s">
        <v>541</v>
      </c>
      <c r="C333" s="193" t="s">
        <v>390</v>
      </c>
      <c r="D333" s="192"/>
      <c r="E333" s="192"/>
      <c r="F333" s="192"/>
      <c r="G333" s="192">
        <f t="shared" si="113"/>
        <v>0</v>
      </c>
      <c r="H333" s="24" t="e">
        <f>G333/D333</f>
        <v>#DIV/0!</v>
      </c>
      <c r="I333" s="225" t="s">
        <v>470</v>
      </c>
      <c r="J333" s="175"/>
    </row>
    <row r="334" spans="1:10" s="176" customFormat="1" hidden="1" x14ac:dyDescent="0.25">
      <c r="A334" s="40"/>
      <c r="B334" s="44"/>
      <c r="C334" s="183"/>
      <c r="D334" s="192"/>
      <c r="E334" s="192"/>
      <c r="F334" s="192"/>
      <c r="G334" s="191"/>
      <c r="H334" s="24"/>
      <c r="I334" s="223"/>
      <c r="J334" s="175"/>
    </row>
    <row r="335" spans="1:10" s="176" customFormat="1" hidden="1" x14ac:dyDescent="0.25">
      <c r="A335" s="40"/>
      <c r="B335" s="43">
        <v>2</v>
      </c>
      <c r="C335" s="185" t="s">
        <v>202</v>
      </c>
      <c r="D335" s="191">
        <f>SUM(D336:D336)</f>
        <v>0</v>
      </c>
      <c r="E335" s="191"/>
      <c r="F335" s="191">
        <f t="shared" ref="F335:G335" si="114">SUM(F336:F336)</f>
        <v>0</v>
      </c>
      <c r="G335" s="191">
        <f t="shared" si="114"/>
        <v>0</v>
      </c>
      <c r="H335" s="236" t="e">
        <f t="shared" ref="H335:H346" si="115">G335/D335</f>
        <v>#DIV/0!</v>
      </c>
      <c r="I335" s="224"/>
      <c r="J335" s="175"/>
    </row>
    <row r="336" spans="1:10" s="176" customFormat="1" hidden="1" x14ac:dyDescent="0.25">
      <c r="A336" s="40"/>
      <c r="B336" s="190" t="s">
        <v>542</v>
      </c>
      <c r="C336" s="193" t="s">
        <v>391</v>
      </c>
      <c r="D336" s="192"/>
      <c r="E336" s="192"/>
      <c r="F336" s="192"/>
      <c r="G336" s="192">
        <f>E336+F336</f>
        <v>0</v>
      </c>
      <c r="H336" s="24" t="e">
        <f t="shared" si="115"/>
        <v>#DIV/0!</v>
      </c>
      <c r="I336" s="225" t="s">
        <v>470</v>
      </c>
      <c r="J336" s="175"/>
    </row>
    <row r="337" spans="1:10" s="176" customFormat="1" hidden="1" x14ac:dyDescent="0.25">
      <c r="A337" s="40"/>
      <c r="B337" s="43">
        <v>3</v>
      </c>
      <c r="C337" s="185" t="s">
        <v>203</v>
      </c>
      <c r="D337" s="191">
        <f>SUM(D338:D338)</f>
        <v>0</v>
      </c>
      <c r="E337" s="191"/>
      <c r="F337" s="191">
        <f t="shared" ref="F337:G337" si="116">SUM(F338:F338)</f>
        <v>0</v>
      </c>
      <c r="G337" s="191">
        <f t="shared" si="116"/>
        <v>0</v>
      </c>
      <c r="H337" s="236" t="e">
        <f t="shared" si="115"/>
        <v>#DIV/0!</v>
      </c>
      <c r="I337" s="224"/>
      <c r="J337" s="175"/>
    </row>
    <row r="338" spans="1:10" s="176" customFormat="1" hidden="1" x14ac:dyDescent="0.25">
      <c r="A338" s="40"/>
      <c r="B338" s="190" t="s">
        <v>543</v>
      </c>
      <c r="C338" s="193" t="s">
        <v>392</v>
      </c>
      <c r="D338" s="192"/>
      <c r="E338" s="192"/>
      <c r="F338" s="192"/>
      <c r="G338" s="192">
        <f>E338+F338</f>
        <v>0</v>
      </c>
      <c r="H338" s="24" t="e">
        <f t="shared" si="115"/>
        <v>#DIV/0!</v>
      </c>
      <c r="I338" s="225" t="s">
        <v>469</v>
      </c>
      <c r="J338" s="175"/>
    </row>
    <row r="339" spans="1:10" s="176" customFormat="1" hidden="1" x14ac:dyDescent="0.25">
      <c r="A339" s="40"/>
      <c r="B339" s="43">
        <v>4</v>
      </c>
      <c r="C339" s="185" t="s">
        <v>192</v>
      </c>
      <c r="D339" s="191">
        <f>SUM(D340)</f>
        <v>0</v>
      </c>
      <c r="E339" s="191"/>
      <c r="F339" s="191">
        <f t="shared" ref="F339:G339" si="117">SUM(F340)</f>
        <v>0</v>
      </c>
      <c r="G339" s="191">
        <f t="shared" si="117"/>
        <v>0</v>
      </c>
      <c r="H339" s="236" t="e">
        <f t="shared" si="115"/>
        <v>#DIV/0!</v>
      </c>
      <c r="I339" s="224"/>
      <c r="J339" s="175"/>
    </row>
    <row r="340" spans="1:10" s="176" customFormat="1" hidden="1" x14ac:dyDescent="0.25">
      <c r="A340" s="40"/>
      <c r="B340" s="190" t="s">
        <v>544</v>
      </c>
      <c r="C340" s="47" t="s">
        <v>393</v>
      </c>
      <c r="D340" s="192"/>
      <c r="E340" s="192"/>
      <c r="F340" s="192"/>
      <c r="G340" s="192">
        <f>E340+F340</f>
        <v>0</v>
      </c>
      <c r="H340" s="24" t="e">
        <f t="shared" si="115"/>
        <v>#DIV/0!</v>
      </c>
      <c r="I340" s="225" t="s">
        <v>469</v>
      </c>
      <c r="J340" s="175"/>
    </row>
    <row r="341" spans="1:10" s="176" customFormat="1" hidden="1" x14ac:dyDescent="0.25">
      <c r="A341" s="40"/>
      <c r="B341" s="43">
        <v>5</v>
      </c>
      <c r="C341" s="185" t="s">
        <v>204</v>
      </c>
      <c r="D341" s="191">
        <f>SUM(D342:D342)</f>
        <v>0</v>
      </c>
      <c r="E341" s="191"/>
      <c r="F341" s="191">
        <f t="shared" ref="F341:G341" si="118">SUM(F342:F342)</f>
        <v>0</v>
      </c>
      <c r="G341" s="191">
        <f t="shared" si="118"/>
        <v>0</v>
      </c>
      <c r="H341" s="236" t="e">
        <f t="shared" si="115"/>
        <v>#DIV/0!</v>
      </c>
      <c r="I341" s="223"/>
      <c r="J341" s="175"/>
    </row>
    <row r="342" spans="1:10" s="176" customFormat="1" hidden="1" x14ac:dyDescent="0.25">
      <c r="A342" s="40"/>
      <c r="B342" s="190" t="s">
        <v>545</v>
      </c>
      <c r="C342" s="47" t="s">
        <v>394</v>
      </c>
      <c r="D342" s="192"/>
      <c r="E342" s="192"/>
      <c r="F342" s="192"/>
      <c r="G342" s="192">
        <f>E342+F342</f>
        <v>0</v>
      </c>
      <c r="H342" s="24" t="e">
        <f t="shared" si="115"/>
        <v>#DIV/0!</v>
      </c>
      <c r="I342" s="225"/>
      <c r="J342" s="175"/>
    </row>
    <row r="343" spans="1:10" s="176" customFormat="1" hidden="1" x14ac:dyDescent="0.25">
      <c r="A343" s="40"/>
      <c r="B343" s="43">
        <v>6</v>
      </c>
      <c r="C343" s="185" t="s">
        <v>205</v>
      </c>
      <c r="D343" s="191">
        <f>SUM(D344:D344)</f>
        <v>0</v>
      </c>
      <c r="E343" s="191">
        <f t="shared" ref="E343:G343" si="119">SUM(E344:E344)</f>
        <v>0</v>
      </c>
      <c r="F343" s="191">
        <f t="shared" si="119"/>
        <v>0</v>
      </c>
      <c r="G343" s="191">
        <f t="shared" si="119"/>
        <v>0</v>
      </c>
      <c r="H343" s="253" t="e">
        <f t="shared" si="115"/>
        <v>#DIV/0!</v>
      </c>
      <c r="I343" s="223"/>
      <c r="J343" s="175"/>
    </row>
    <row r="344" spans="1:10" s="176" customFormat="1" hidden="1" x14ac:dyDescent="0.25">
      <c r="A344" s="40"/>
      <c r="B344" s="190" t="s">
        <v>376</v>
      </c>
      <c r="C344" s="48" t="s">
        <v>395</v>
      </c>
      <c r="D344" s="192">
        <v>0</v>
      </c>
      <c r="E344" s="192"/>
      <c r="F344" s="192"/>
      <c r="G344" s="192">
        <f>E344+F344</f>
        <v>0</v>
      </c>
      <c r="H344" s="252" t="e">
        <f t="shared" si="115"/>
        <v>#DIV/0!</v>
      </c>
      <c r="I344" s="225"/>
      <c r="J344" s="175"/>
    </row>
    <row r="345" spans="1:10" s="176" customFormat="1" hidden="1" x14ac:dyDescent="0.25">
      <c r="A345" s="40"/>
      <c r="B345" s="46">
        <v>7</v>
      </c>
      <c r="C345" s="170" t="s">
        <v>206</v>
      </c>
      <c r="D345" s="191">
        <f>D346</f>
        <v>0</v>
      </c>
      <c r="E345" s="191"/>
      <c r="F345" s="191">
        <f t="shared" ref="F345:G345" si="120">F346</f>
        <v>0</v>
      </c>
      <c r="G345" s="191">
        <f t="shared" si="120"/>
        <v>0</v>
      </c>
      <c r="H345" s="236" t="e">
        <f t="shared" si="115"/>
        <v>#DIV/0!</v>
      </c>
      <c r="I345" s="225"/>
      <c r="J345" s="175"/>
    </row>
    <row r="346" spans="1:10" s="176" customFormat="1" hidden="1" x14ac:dyDescent="0.25">
      <c r="A346" s="40"/>
      <c r="B346" s="190" t="s">
        <v>546</v>
      </c>
      <c r="C346" s="48" t="s">
        <v>207</v>
      </c>
      <c r="D346" s="192"/>
      <c r="E346" s="192"/>
      <c r="F346" s="192"/>
      <c r="G346" s="192">
        <f>E346+F346</f>
        <v>0</v>
      </c>
      <c r="H346" s="24" t="e">
        <f t="shared" si="115"/>
        <v>#DIV/0!</v>
      </c>
      <c r="I346" s="225" t="s">
        <v>469</v>
      </c>
      <c r="J346" s="175"/>
    </row>
    <row r="347" spans="1:10" s="176" customFormat="1" hidden="1" x14ac:dyDescent="0.25">
      <c r="A347" s="40"/>
      <c r="B347" s="46"/>
      <c r="C347" s="49"/>
      <c r="D347" s="50"/>
      <c r="E347" s="50"/>
      <c r="F347" s="50"/>
      <c r="G347" s="191"/>
      <c r="H347" s="236"/>
      <c r="I347" s="223"/>
      <c r="J347" s="175"/>
    </row>
    <row r="348" spans="1:10" s="176" customFormat="1" ht="36.75" customHeight="1" x14ac:dyDescent="0.25">
      <c r="A348" s="293"/>
      <c r="B348" s="262" t="s">
        <v>415</v>
      </c>
      <c r="C348" s="41" t="s">
        <v>208</v>
      </c>
      <c r="D348" s="42">
        <f>SUM(D349+D351+D353+D356+D358+D360)</f>
        <v>0</v>
      </c>
      <c r="E348" s="42"/>
      <c r="F348" s="42">
        <f>SUM(F349+F351+F353+F356+F358+F360)</f>
        <v>0</v>
      </c>
      <c r="G348" s="42">
        <f t="shared" ref="G348:G361" si="121">F348-D348</f>
        <v>0</v>
      </c>
      <c r="H348" s="237"/>
      <c r="I348" s="226"/>
      <c r="J348" s="175"/>
    </row>
    <row r="349" spans="1:10" s="176" customFormat="1" x14ac:dyDescent="0.25">
      <c r="A349" s="40"/>
      <c r="B349" s="51">
        <v>1</v>
      </c>
      <c r="C349" s="35" t="s">
        <v>209</v>
      </c>
      <c r="D349" s="191">
        <f>SUM(D350:D350)</f>
        <v>0</v>
      </c>
      <c r="E349" s="191"/>
      <c r="F349" s="191">
        <f>SUM(F350:F350)</f>
        <v>0</v>
      </c>
      <c r="G349" s="191">
        <f t="shared" si="121"/>
        <v>0</v>
      </c>
      <c r="H349" s="236"/>
      <c r="I349" s="224"/>
      <c r="J349" s="175"/>
    </row>
    <row r="350" spans="1:10" s="176" customFormat="1" x14ac:dyDescent="0.25">
      <c r="A350" s="40"/>
      <c r="B350" s="190" t="s">
        <v>380</v>
      </c>
      <c r="C350" s="193" t="s">
        <v>210</v>
      </c>
      <c r="D350" s="192">
        <v>0</v>
      </c>
      <c r="E350" s="192"/>
      <c r="F350" s="192">
        <v>0</v>
      </c>
      <c r="G350" s="192">
        <f t="shared" si="121"/>
        <v>0</v>
      </c>
      <c r="H350" s="24"/>
      <c r="I350" s="225"/>
      <c r="J350" s="175"/>
    </row>
    <row r="351" spans="1:10" s="176" customFormat="1" x14ac:dyDescent="0.25">
      <c r="A351" s="40"/>
      <c r="B351" s="51">
        <v>2</v>
      </c>
      <c r="C351" s="35" t="s">
        <v>211</v>
      </c>
      <c r="D351" s="191">
        <f>SUM(D352)</f>
        <v>0</v>
      </c>
      <c r="E351" s="191"/>
      <c r="F351" s="191">
        <f>SUM(F352)</f>
        <v>0</v>
      </c>
      <c r="G351" s="191">
        <f t="shared" si="121"/>
        <v>0</v>
      </c>
      <c r="H351" s="236"/>
      <c r="I351" s="224"/>
      <c r="J351" s="175"/>
    </row>
    <row r="352" spans="1:10" s="176" customFormat="1" x14ac:dyDescent="0.25">
      <c r="A352" s="40"/>
      <c r="B352" s="190" t="s">
        <v>383</v>
      </c>
      <c r="C352" s="193" t="s">
        <v>194</v>
      </c>
      <c r="D352" s="192">
        <v>0</v>
      </c>
      <c r="E352" s="192"/>
      <c r="F352" s="192">
        <v>0</v>
      </c>
      <c r="G352" s="192">
        <f t="shared" si="121"/>
        <v>0</v>
      </c>
      <c r="H352" s="24"/>
      <c r="I352" s="225"/>
      <c r="J352" s="175"/>
    </row>
    <row r="353" spans="1:10" s="176" customFormat="1" x14ac:dyDescent="0.25">
      <c r="A353" s="40"/>
      <c r="B353" s="51">
        <v>3</v>
      </c>
      <c r="C353" s="185" t="s">
        <v>172</v>
      </c>
      <c r="D353" s="191">
        <f>SUM(D354:D355)</f>
        <v>0</v>
      </c>
      <c r="E353" s="191"/>
      <c r="F353" s="191">
        <f>SUM(F354:F355)</f>
        <v>0</v>
      </c>
      <c r="G353" s="191">
        <f t="shared" si="121"/>
        <v>0</v>
      </c>
      <c r="H353" s="236"/>
      <c r="I353" s="224"/>
      <c r="J353" s="175"/>
    </row>
    <row r="354" spans="1:10" s="176" customFormat="1" x14ac:dyDescent="0.25">
      <c r="A354" s="40"/>
      <c r="B354" s="190" t="s">
        <v>377</v>
      </c>
      <c r="C354" s="193" t="s">
        <v>174</v>
      </c>
      <c r="D354" s="192"/>
      <c r="E354" s="192"/>
      <c r="F354" s="192"/>
      <c r="G354" s="192">
        <f t="shared" si="121"/>
        <v>0</v>
      </c>
      <c r="H354" s="24"/>
      <c r="I354" s="225"/>
      <c r="J354" s="175"/>
    </row>
    <row r="355" spans="1:10" s="176" customFormat="1" x14ac:dyDescent="0.25">
      <c r="A355" s="40"/>
      <c r="B355" s="190" t="s">
        <v>378</v>
      </c>
      <c r="C355" s="193" t="s">
        <v>175</v>
      </c>
      <c r="D355" s="192"/>
      <c r="E355" s="192"/>
      <c r="F355" s="192"/>
      <c r="G355" s="192">
        <f t="shared" si="121"/>
        <v>0</v>
      </c>
      <c r="H355" s="24"/>
      <c r="I355" s="225"/>
      <c r="J355" s="175"/>
    </row>
    <row r="356" spans="1:10" s="176" customFormat="1" x14ac:dyDescent="0.25">
      <c r="A356" s="40"/>
      <c r="B356" s="51">
        <v>4</v>
      </c>
      <c r="C356" s="35" t="s">
        <v>212</v>
      </c>
      <c r="D356" s="191">
        <f>D357</f>
        <v>0</v>
      </c>
      <c r="E356" s="191"/>
      <c r="F356" s="191">
        <f>F357</f>
        <v>0</v>
      </c>
      <c r="G356" s="191">
        <f t="shared" si="121"/>
        <v>0</v>
      </c>
      <c r="H356" s="236"/>
      <c r="I356" s="225"/>
      <c r="J356" s="175"/>
    </row>
    <row r="357" spans="1:10" s="176" customFormat="1" x14ac:dyDescent="0.25">
      <c r="A357" s="40"/>
      <c r="B357" s="190" t="s">
        <v>381</v>
      </c>
      <c r="C357" s="193" t="s">
        <v>189</v>
      </c>
      <c r="D357" s="191">
        <v>0</v>
      </c>
      <c r="E357" s="191"/>
      <c r="F357" s="191">
        <v>0</v>
      </c>
      <c r="G357" s="192">
        <f t="shared" si="121"/>
        <v>0</v>
      </c>
      <c r="H357" s="236"/>
      <c r="I357" s="225"/>
      <c r="J357" s="175"/>
    </row>
    <row r="358" spans="1:10" s="176" customFormat="1" x14ac:dyDescent="0.25">
      <c r="A358" s="40"/>
      <c r="B358" s="51">
        <v>5</v>
      </c>
      <c r="C358" s="35" t="s">
        <v>213</v>
      </c>
      <c r="D358" s="191">
        <f>SUM(D359:D359)</f>
        <v>0</v>
      </c>
      <c r="E358" s="191"/>
      <c r="F358" s="191">
        <f>SUM(F359:F359)</f>
        <v>0</v>
      </c>
      <c r="G358" s="191">
        <f t="shared" si="121"/>
        <v>0</v>
      </c>
      <c r="H358" s="236"/>
      <c r="I358" s="224"/>
      <c r="J358" s="175"/>
    </row>
    <row r="359" spans="1:10" s="176" customFormat="1" x14ac:dyDescent="0.25">
      <c r="A359" s="40"/>
      <c r="B359" s="190" t="s">
        <v>382</v>
      </c>
      <c r="C359" s="193" t="s">
        <v>187</v>
      </c>
      <c r="D359" s="192">
        <v>0</v>
      </c>
      <c r="E359" s="192"/>
      <c r="F359" s="192">
        <v>0</v>
      </c>
      <c r="G359" s="192">
        <f t="shared" si="121"/>
        <v>0</v>
      </c>
      <c r="H359" s="24"/>
      <c r="I359" s="225"/>
      <c r="J359" s="175"/>
    </row>
    <row r="360" spans="1:10" s="176" customFormat="1" x14ac:dyDescent="0.25">
      <c r="A360" s="40"/>
      <c r="B360" s="51">
        <v>6</v>
      </c>
      <c r="C360" s="35" t="s">
        <v>214</v>
      </c>
      <c r="D360" s="191">
        <f>SUM(D361:D361)</f>
        <v>0</v>
      </c>
      <c r="E360" s="191"/>
      <c r="F360" s="191">
        <f>SUM(F361:F361)</f>
        <v>0</v>
      </c>
      <c r="G360" s="191">
        <f t="shared" si="121"/>
        <v>0</v>
      </c>
      <c r="H360" s="236"/>
      <c r="I360" s="224"/>
      <c r="J360" s="175"/>
    </row>
    <row r="361" spans="1:10" s="176" customFormat="1" x14ac:dyDescent="0.25">
      <c r="A361" s="40"/>
      <c r="B361" s="190" t="s">
        <v>379</v>
      </c>
      <c r="C361" s="193" t="s">
        <v>215</v>
      </c>
      <c r="D361" s="192"/>
      <c r="E361" s="192"/>
      <c r="F361" s="192"/>
      <c r="G361" s="192">
        <f t="shared" si="121"/>
        <v>0</v>
      </c>
      <c r="H361" s="24"/>
      <c r="I361" s="225"/>
      <c r="J361" s="175"/>
    </row>
    <row r="362" spans="1:10" s="176" customFormat="1" x14ac:dyDescent="0.25">
      <c r="A362" s="40"/>
      <c r="B362" s="178"/>
      <c r="C362" s="183"/>
      <c r="D362" s="192"/>
      <c r="E362" s="192"/>
      <c r="F362" s="192"/>
      <c r="G362" s="191"/>
      <c r="H362" s="236"/>
      <c r="I362" s="224"/>
      <c r="J362" s="175"/>
    </row>
    <row r="363" spans="1:10" s="176" customFormat="1" ht="25.5" customHeight="1" x14ac:dyDescent="0.25">
      <c r="A363" s="138" t="s">
        <v>235</v>
      </c>
      <c r="B363" s="139" t="s">
        <v>384</v>
      </c>
      <c r="C363" s="140" t="s">
        <v>385</v>
      </c>
      <c r="D363" s="141">
        <f>SUM(D365+D367+M370+D370+D373+D376+D379+D382+D390+D393+D396+D399+D402+D405)</f>
        <v>51863030000</v>
      </c>
      <c r="E363" s="141"/>
      <c r="F363" s="141">
        <f t="shared" ref="F363:G363" si="122">SUM(F370+F373+F376+F379+F382+F390+F393+F396+F399+F402+F405)</f>
        <v>0</v>
      </c>
      <c r="G363" s="141">
        <f t="shared" si="122"/>
        <v>0</v>
      </c>
      <c r="H363" s="240">
        <f>G363/D363</f>
        <v>0</v>
      </c>
      <c r="I363" s="225" t="s">
        <v>216</v>
      </c>
      <c r="J363" s="175"/>
    </row>
    <row r="364" spans="1:10" s="176" customFormat="1" ht="21" customHeight="1" x14ac:dyDescent="0.25">
      <c r="A364" s="40"/>
      <c r="B364" s="167" t="s">
        <v>19</v>
      </c>
      <c r="C364" s="185" t="s">
        <v>635</v>
      </c>
      <c r="D364" s="191">
        <f>D365</f>
        <v>50738030000</v>
      </c>
      <c r="E364" s="191"/>
      <c r="F364" s="191">
        <f t="shared" ref="F364:G364" si="123">F365</f>
        <v>0</v>
      </c>
      <c r="G364" s="191">
        <f t="shared" si="123"/>
        <v>0</v>
      </c>
      <c r="H364" s="236">
        <f>G364/D364</f>
        <v>0</v>
      </c>
      <c r="I364" s="225" t="s">
        <v>218</v>
      </c>
      <c r="J364" s="175"/>
    </row>
    <row r="365" spans="1:10" s="176" customFormat="1" ht="21" customHeight="1" x14ac:dyDescent="0.25">
      <c r="A365" s="40"/>
      <c r="B365" s="190" t="s">
        <v>634</v>
      </c>
      <c r="C365" s="183" t="s">
        <v>636</v>
      </c>
      <c r="D365" s="192">
        <v>50738030000</v>
      </c>
      <c r="E365" s="192"/>
      <c r="F365" s="192"/>
      <c r="G365" s="192">
        <f>E365+F365</f>
        <v>0</v>
      </c>
      <c r="H365" s="24">
        <f>G365/D365</f>
        <v>0</v>
      </c>
      <c r="I365" s="225"/>
      <c r="J365" s="175"/>
    </row>
    <row r="366" spans="1:10" s="176" customFormat="1" ht="25.5" customHeight="1" x14ac:dyDescent="0.25">
      <c r="A366" s="169"/>
      <c r="B366" s="189"/>
      <c r="C366" s="185"/>
      <c r="D366" s="191"/>
      <c r="E366" s="191"/>
      <c r="F366" s="191"/>
      <c r="G366" s="191"/>
      <c r="H366" s="236"/>
      <c r="I366" s="225"/>
      <c r="J366" s="175"/>
    </row>
    <row r="367" spans="1:10" s="176" customFormat="1" ht="21" customHeight="1" x14ac:dyDescent="0.25">
      <c r="A367" s="40"/>
      <c r="B367" s="167" t="s">
        <v>39</v>
      </c>
      <c r="C367" s="185" t="s">
        <v>638</v>
      </c>
      <c r="D367" s="191">
        <f>D368</f>
        <v>1125000000</v>
      </c>
      <c r="E367" s="191"/>
      <c r="F367" s="191">
        <f t="shared" ref="F367:G367" si="124">F368</f>
        <v>0</v>
      </c>
      <c r="G367" s="191">
        <f t="shared" si="124"/>
        <v>0</v>
      </c>
      <c r="H367" s="236">
        <f>G367/D367</f>
        <v>0</v>
      </c>
      <c r="I367" s="225" t="s">
        <v>218</v>
      </c>
      <c r="J367" s="175"/>
    </row>
    <row r="368" spans="1:10" s="176" customFormat="1" ht="21" customHeight="1" x14ac:dyDescent="0.25">
      <c r="A368" s="40"/>
      <c r="B368" s="190" t="s">
        <v>637</v>
      </c>
      <c r="C368" s="183" t="s">
        <v>639</v>
      </c>
      <c r="D368" s="192">
        <v>1125000000</v>
      </c>
      <c r="E368" s="192"/>
      <c r="F368" s="192"/>
      <c r="G368" s="192">
        <f>E368+F368</f>
        <v>0</v>
      </c>
      <c r="H368" s="24">
        <f>G368/D368</f>
        <v>0</v>
      </c>
      <c r="I368" s="225"/>
      <c r="J368" s="175"/>
    </row>
    <row r="369" spans="1:10" s="176" customFormat="1" ht="21" customHeight="1" x14ac:dyDescent="0.25">
      <c r="A369" s="40"/>
      <c r="B369" s="190"/>
      <c r="C369" s="183"/>
      <c r="D369" s="192"/>
      <c r="E369" s="192"/>
      <c r="F369" s="192"/>
      <c r="G369" s="192"/>
      <c r="H369" s="24"/>
      <c r="I369" s="225"/>
      <c r="J369" s="175"/>
    </row>
    <row r="370" spans="1:10" s="176" customFormat="1" ht="21" customHeight="1" x14ac:dyDescent="0.25">
      <c r="A370" s="40"/>
      <c r="B370" s="167" t="s">
        <v>19</v>
      </c>
      <c r="C370" s="185" t="s">
        <v>217</v>
      </c>
      <c r="D370" s="191">
        <f>D371</f>
        <v>0</v>
      </c>
      <c r="E370" s="191"/>
      <c r="F370" s="191">
        <f t="shared" ref="F370:G370" si="125">F371</f>
        <v>0</v>
      </c>
      <c r="G370" s="191">
        <f t="shared" si="125"/>
        <v>0</v>
      </c>
      <c r="H370" s="236" t="e">
        <f>G370/D370</f>
        <v>#DIV/0!</v>
      </c>
      <c r="I370" s="225" t="s">
        <v>218</v>
      </c>
      <c r="J370" s="175"/>
    </row>
    <row r="371" spans="1:10" s="176" customFormat="1" ht="21" customHeight="1" x14ac:dyDescent="0.25">
      <c r="A371" s="40"/>
      <c r="B371" s="190" t="s">
        <v>547</v>
      </c>
      <c r="C371" s="183" t="s">
        <v>217</v>
      </c>
      <c r="D371" s="192"/>
      <c r="E371" s="192"/>
      <c r="F371" s="192"/>
      <c r="G371" s="192">
        <f>E371+F371</f>
        <v>0</v>
      </c>
      <c r="H371" s="24" t="e">
        <f>G371/D371</f>
        <v>#DIV/0!</v>
      </c>
      <c r="I371" s="225"/>
      <c r="J371" s="175"/>
    </row>
    <row r="372" spans="1:10" s="176" customFormat="1" ht="21" customHeight="1" x14ac:dyDescent="0.25">
      <c r="A372" s="40"/>
      <c r="B372" s="190"/>
      <c r="C372" s="183"/>
      <c r="D372" s="192"/>
      <c r="E372" s="192"/>
      <c r="F372" s="192"/>
      <c r="G372" s="192"/>
      <c r="H372" s="236"/>
      <c r="I372" s="225"/>
      <c r="J372" s="175"/>
    </row>
    <row r="373" spans="1:10" s="176" customFormat="1" ht="21" customHeight="1" x14ac:dyDescent="0.25">
      <c r="A373" s="40"/>
      <c r="B373" s="167" t="s">
        <v>39</v>
      </c>
      <c r="C373" s="185" t="s">
        <v>219</v>
      </c>
      <c r="D373" s="191">
        <f>D374</f>
        <v>0</v>
      </c>
      <c r="E373" s="191"/>
      <c r="F373" s="191">
        <f t="shared" ref="F373:G373" si="126">F374</f>
        <v>0</v>
      </c>
      <c r="G373" s="191">
        <f t="shared" si="126"/>
        <v>0</v>
      </c>
      <c r="H373" s="236" t="e">
        <f>G373/D373</f>
        <v>#DIV/0!</v>
      </c>
      <c r="I373" s="225" t="s">
        <v>218</v>
      </c>
      <c r="J373" s="175"/>
    </row>
    <row r="374" spans="1:10" s="176" customFormat="1" ht="21" customHeight="1" x14ac:dyDescent="0.25">
      <c r="A374" s="40"/>
      <c r="B374" s="190" t="s">
        <v>548</v>
      </c>
      <c r="C374" s="183" t="s">
        <v>219</v>
      </c>
      <c r="D374" s="192"/>
      <c r="E374" s="192"/>
      <c r="F374" s="192"/>
      <c r="G374" s="192">
        <f>E374+F374</f>
        <v>0</v>
      </c>
      <c r="H374" s="24" t="e">
        <f>G374/D374</f>
        <v>#DIV/0!</v>
      </c>
      <c r="I374" s="225"/>
      <c r="J374" s="175"/>
    </row>
    <row r="375" spans="1:10" s="176" customFormat="1" ht="21" customHeight="1" x14ac:dyDescent="0.25">
      <c r="A375" s="40"/>
      <c r="B375" s="190"/>
      <c r="C375" s="183"/>
      <c r="D375" s="191"/>
      <c r="E375" s="191"/>
      <c r="F375" s="191"/>
      <c r="G375" s="192"/>
      <c r="H375" s="236"/>
      <c r="I375" s="225"/>
      <c r="J375" s="175"/>
    </row>
    <row r="376" spans="1:10" s="176" customFormat="1" x14ac:dyDescent="0.25">
      <c r="A376" s="40"/>
      <c r="B376" s="167" t="s">
        <v>46</v>
      </c>
      <c r="C376" s="35" t="s">
        <v>220</v>
      </c>
      <c r="D376" s="191">
        <f>SUM(D377)</f>
        <v>0</v>
      </c>
      <c r="E376" s="191"/>
      <c r="F376" s="191">
        <f t="shared" ref="F376:G376" si="127">SUM(F377)</f>
        <v>0</v>
      </c>
      <c r="G376" s="191">
        <f t="shared" si="127"/>
        <v>0</v>
      </c>
      <c r="H376" s="236" t="e">
        <f>G376/D376</f>
        <v>#DIV/0!</v>
      </c>
      <c r="I376" s="223"/>
      <c r="J376" s="175"/>
    </row>
    <row r="377" spans="1:10" s="176" customFormat="1" x14ac:dyDescent="0.25">
      <c r="A377" s="40"/>
      <c r="B377" s="190" t="s">
        <v>549</v>
      </c>
      <c r="C377" s="193" t="s">
        <v>220</v>
      </c>
      <c r="D377" s="192"/>
      <c r="E377" s="192"/>
      <c r="F377" s="192"/>
      <c r="G377" s="192">
        <f>E377+F377</f>
        <v>0</v>
      </c>
      <c r="H377" s="24" t="e">
        <f>G377/D377</f>
        <v>#DIV/0!</v>
      </c>
      <c r="I377" s="225" t="s">
        <v>218</v>
      </c>
      <c r="J377" s="175"/>
    </row>
    <row r="378" spans="1:10" s="176" customFormat="1" x14ac:dyDescent="0.25">
      <c r="A378" s="40"/>
      <c r="B378" s="190"/>
      <c r="C378" s="193"/>
      <c r="D378" s="192"/>
      <c r="E378" s="192"/>
      <c r="F378" s="192"/>
      <c r="G378" s="192"/>
      <c r="H378" s="24"/>
      <c r="I378" s="225"/>
      <c r="J378" s="175"/>
    </row>
    <row r="379" spans="1:10" s="176" customFormat="1" x14ac:dyDescent="0.25">
      <c r="A379" s="40"/>
      <c r="B379" s="167" t="s">
        <v>8</v>
      </c>
      <c r="C379" s="35" t="s">
        <v>221</v>
      </c>
      <c r="D379" s="191">
        <f>SUM(D380)</f>
        <v>0</v>
      </c>
      <c r="E379" s="191"/>
      <c r="F379" s="191">
        <f t="shared" ref="F379:G379" si="128">SUM(F380)</f>
        <v>0</v>
      </c>
      <c r="G379" s="191">
        <f t="shared" si="128"/>
        <v>0</v>
      </c>
      <c r="H379" s="236" t="e">
        <f>G379/D379</f>
        <v>#DIV/0!</v>
      </c>
      <c r="I379" s="223"/>
      <c r="J379" s="175"/>
    </row>
    <row r="380" spans="1:10" s="176" customFormat="1" x14ac:dyDescent="0.25">
      <c r="A380" s="40"/>
      <c r="B380" s="190" t="s">
        <v>550</v>
      </c>
      <c r="C380" s="193" t="s">
        <v>221</v>
      </c>
      <c r="D380" s="192"/>
      <c r="E380" s="192"/>
      <c r="F380" s="192"/>
      <c r="G380" s="192">
        <f>E380+F380</f>
        <v>0</v>
      </c>
      <c r="H380" s="24" t="e">
        <f>G380/D380</f>
        <v>#DIV/0!</v>
      </c>
      <c r="I380" s="225" t="s">
        <v>218</v>
      </c>
      <c r="J380" s="175"/>
    </row>
    <row r="381" spans="1:10" s="176" customFormat="1" x14ac:dyDescent="0.25">
      <c r="A381" s="40"/>
      <c r="B381" s="190"/>
      <c r="C381" s="193"/>
      <c r="D381" s="192"/>
      <c r="E381" s="192"/>
      <c r="F381" s="192"/>
      <c r="G381" s="192"/>
      <c r="H381" s="24"/>
      <c r="I381" s="225"/>
      <c r="J381" s="175"/>
    </row>
    <row r="382" spans="1:10" s="176" customFormat="1" x14ac:dyDescent="0.25">
      <c r="A382" s="40"/>
      <c r="B382" s="167" t="s">
        <v>49</v>
      </c>
      <c r="C382" s="35" t="s">
        <v>222</v>
      </c>
      <c r="D382" s="191">
        <f>SUM(D383:D388)</f>
        <v>0</v>
      </c>
      <c r="E382" s="191"/>
      <c r="F382" s="191">
        <f t="shared" ref="F382:G382" si="129">SUM(F383:F388)</f>
        <v>0</v>
      </c>
      <c r="G382" s="191">
        <f t="shared" si="129"/>
        <v>0</v>
      </c>
      <c r="H382" s="236" t="e">
        <f>G382/D382</f>
        <v>#DIV/0!</v>
      </c>
      <c r="I382" s="227"/>
      <c r="J382" s="175"/>
    </row>
    <row r="383" spans="1:10" s="176" customFormat="1" x14ac:dyDescent="0.25">
      <c r="A383" s="40"/>
      <c r="B383" s="190" t="s">
        <v>551</v>
      </c>
      <c r="C383" s="193" t="s">
        <v>223</v>
      </c>
      <c r="D383" s="192"/>
      <c r="E383" s="192"/>
      <c r="F383" s="192"/>
      <c r="G383" s="192">
        <f>E383+F383</f>
        <v>0</v>
      </c>
      <c r="H383" s="24" t="e">
        <f>G383/D383</f>
        <v>#DIV/0!</v>
      </c>
      <c r="I383" s="225" t="s">
        <v>218</v>
      </c>
      <c r="J383" s="175"/>
    </row>
    <row r="384" spans="1:10" s="176" customFormat="1" x14ac:dyDescent="0.25">
      <c r="A384" s="40"/>
      <c r="B384" s="190" t="s">
        <v>552</v>
      </c>
      <c r="C384" s="193" t="s">
        <v>227</v>
      </c>
      <c r="D384" s="192"/>
      <c r="E384" s="192"/>
      <c r="F384" s="192"/>
      <c r="G384" s="192">
        <f t="shared" ref="G384:G391" si="130">E384+F384</f>
        <v>0</v>
      </c>
      <c r="H384" s="24" t="e">
        <f>G384/D384</f>
        <v>#DIV/0!</v>
      </c>
      <c r="I384" s="225" t="s">
        <v>216</v>
      </c>
      <c r="J384" s="175"/>
    </row>
    <row r="385" spans="1:10" s="176" customFormat="1" x14ac:dyDescent="0.25">
      <c r="A385" s="40"/>
      <c r="B385" s="190" t="s">
        <v>553</v>
      </c>
      <c r="C385" s="193" t="s">
        <v>224</v>
      </c>
      <c r="D385" s="192"/>
      <c r="E385" s="192"/>
      <c r="F385" s="192"/>
      <c r="G385" s="192">
        <f t="shared" si="130"/>
        <v>0</v>
      </c>
      <c r="H385" s="24" t="e">
        <f>G385/D385</f>
        <v>#DIV/0!</v>
      </c>
      <c r="I385" s="225" t="s">
        <v>218</v>
      </c>
      <c r="J385" s="175"/>
    </row>
    <row r="386" spans="1:10" s="176" customFormat="1" ht="18" hidden="1" customHeight="1" x14ac:dyDescent="0.25">
      <c r="A386" s="40"/>
      <c r="B386" s="52"/>
      <c r="C386" s="193" t="s">
        <v>225</v>
      </c>
      <c r="D386" s="192"/>
      <c r="E386" s="192"/>
      <c r="F386" s="192"/>
      <c r="G386" s="192">
        <f t="shared" si="130"/>
        <v>0</v>
      </c>
      <c r="H386" s="24">
        <v>0</v>
      </c>
      <c r="I386" s="223"/>
      <c r="J386" s="175"/>
    </row>
    <row r="387" spans="1:10" s="176" customFormat="1" x14ac:dyDescent="0.25">
      <c r="A387" s="40"/>
      <c r="B387" s="190" t="s">
        <v>554</v>
      </c>
      <c r="C387" s="193" t="s">
        <v>226</v>
      </c>
      <c r="D387" s="192"/>
      <c r="E387" s="192"/>
      <c r="F387" s="192"/>
      <c r="G387" s="192">
        <f t="shared" si="130"/>
        <v>0</v>
      </c>
      <c r="H387" s="24" t="e">
        <f>G387/D387</f>
        <v>#DIV/0!</v>
      </c>
      <c r="I387" s="225" t="s">
        <v>216</v>
      </c>
      <c r="J387" s="175"/>
    </row>
    <row r="388" spans="1:10" s="176" customFormat="1" x14ac:dyDescent="0.25">
      <c r="A388" s="40"/>
      <c r="B388" s="190" t="s">
        <v>386</v>
      </c>
      <c r="C388" s="193" t="s">
        <v>228</v>
      </c>
      <c r="D388" s="192"/>
      <c r="E388" s="192"/>
      <c r="F388" s="192"/>
      <c r="G388" s="192">
        <f t="shared" si="130"/>
        <v>0</v>
      </c>
      <c r="H388" s="24"/>
      <c r="I388" s="225" t="s">
        <v>216</v>
      </c>
      <c r="J388" s="175"/>
    </row>
    <row r="389" spans="1:10" s="176" customFormat="1" x14ac:dyDescent="0.25">
      <c r="A389" s="40"/>
      <c r="B389" s="190"/>
      <c r="C389" s="193"/>
      <c r="D389" s="192"/>
      <c r="E389" s="192"/>
      <c r="F389" s="192"/>
      <c r="G389" s="192">
        <f t="shared" si="130"/>
        <v>0</v>
      </c>
      <c r="H389" s="24"/>
      <c r="I389" s="225"/>
      <c r="J389" s="175"/>
    </row>
    <row r="390" spans="1:10" s="176" customFormat="1" x14ac:dyDescent="0.25">
      <c r="A390" s="40"/>
      <c r="B390" s="167" t="s">
        <v>53</v>
      </c>
      <c r="C390" s="35" t="s">
        <v>229</v>
      </c>
      <c r="D390" s="191">
        <f>SUM(D391)</f>
        <v>0</v>
      </c>
      <c r="E390" s="191"/>
      <c r="F390" s="191">
        <f>SUM(F391)</f>
        <v>0</v>
      </c>
      <c r="G390" s="192">
        <f t="shared" si="130"/>
        <v>0</v>
      </c>
      <c r="H390" s="253" t="e">
        <f>G390/D390</f>
        <v>#DIV/0!</v>
      </c>
      <c r="I390" s="223"/>
      <c r="J390" s="175"/>
    </row>
    <row r="391" spans="1:10" s="176" customFormat="1" x14ac:dyDescent="0.25">
      <c r="A391" s="40"/>
      <c r="B391" s="190" t="s">
        <v>387</v>
      </c>
      <c r="C391" s="193" t="s">
        <v>229</v>
      </c>
      <c r="D391" s="192">
        <v>0</v>
      </c>
      <c r="E391" s="192"/>
      <c r="F391" s="192"/>
      <c r="G391" s="192">
        <f t="shared" si="130"/>
        <v>0</v>
      </c>
      <c r="H391" s="252" t="e">
        <f>G391/D391</f>
        <v>#DIV/0!</v>
      </c>
      <c r="I391" s="225" t="s">
        <v>216</v>
      </c>
      <c r="J391" s="175"/>
    </row>
    <row r="392" spans="1:10" s="176" customFormat="1" x14ac:dyDescent="0.25">
      <c r="A392" s="40"/>
      <c r="B392" s="190"/>
      <c r="C392" s="193"/>
      <c r="D392" s="192"/>
      <c r="E392" s="192"/>
      <c r="F392" s="192"/>
      <c r="G392" s="192"/>
      <c r="H392" s="24"/>
      <c r="I392" s="225"/>
      <c r="J392" s="175"/>
    </row>
    <row r="393" spans="1:10" s="176" customFormat="1" x14ac:dyDescent="0.25">
      <c r="A393" s="40"/>
      <c r="B393" s="167" t="s">
        <v>62</v>
      </c>
      <c r="C393" s="35" t="s">
        <v>230</v>
      </c>
      <c r="D393" s="191">
        <f>SUM(D394)</f>
        <v>0</v>
      </c>
      <c r="E393" s="191"/>
      <c r="F393" s="191">
        <f t="shared" ref="F393:G393" si="131">SUM(F394)</f>
        <v>0</v>
      </c>
      <c r="G393" s="191">
        <f t="shared" si="131"/>
        <v>0</v>
      </c>
      <c r="H393" s="236" t="e">
        <f>G393/D393</f>
        <v>#DIV/0!</v>
      </c>
      <c r="I393" s="223"/>
      <c r="J393" s="175"/>
    </row>
    <row r="394" spans="1:10" s="176" customFormat="1" x14ac:dyDescent="0.25">
      <c r="A394" s="40"/>
      <c r="B394" s="190" t="s">
        <v>555</v>
      </c>
      <c r="C394" s="193" t="s">
        <v>230</v>
      </c>
      <c r="D394" s="192"/>
      <c r="E394" s="192"/>
      <c r="F394" s="192"/>
      <c r="G394" s="192">
        <f>E394+F394</f>
        <v>0</v>
      </c>
      <c r="H394" s="24" t="e">
        <f>G394/D394</f>
        <v>#DIV/0!</v>
      </c>
      <c r="I394" s="225" t="s">
        <v>216</v>
      </c>
      <c r="J394" s="175"/>
    </row>
    <row r="395" spans="1:10" s="176" customFormat="1" x14ac:dyDescent="0.25">
      <c r="A395" s="40"/>
      <c r="B395" s="190"/>
      <c r="C395" s="193"/>
      <c r="D395" s="192"/>
      <c r="E395" s="192"/>
      <c r="F395" s="192"/>
      <c r="G395" s="192"/>
      <c r="H395" s="24"/>
      <c r="I395" s="225"/>
      <c r="J395" s="175"/>
    </row>
    <row r="396" spans="1:10" s="176" customFormat="1" x14ac:dyDescent="0.25">
      <c r="A396" s="40"/>
      <c r="B396" s="167" t="s">
        <v>66</v>
      </c>
      <c r="C396" s="35" t="s">
        <v>231</v>
      </c>
      <c r="D396" s="191">
        <f>SUM(D397)</f>
        <v>0</v>
      </c>
      <c r="E396" s="191"/>
      <c r="F396" s="191">
        <f t="shared" ref="F396:G396" si="132">SUM(F397)</f>
        <v>0</v>
      </c>
      <c r="G396" s="191">
        <f t="shared" si="132"/>
        <v>0</v>
      </c>
      <c r="H396" s="236" t="e">
        <f>G396/D396</f>
        <v>#DIV/0!</v>
      </c>
      <c r="I396" s="223"/>
      <c r="J396" s="175"/>
    </row>
    <row r="397" spans="1:10" s="176" customFormat="1" x14ac:dyDescent="0.25">
      <c r="A397" s="40"/>
      <c r="B397" s="190" t="s">
        <v>556</v>
      </c>
      <c r="C397" s="193" t="s">
        <v>231</v>
      </c>
      <c r="D397" s="192"/>
      <c r="E397" s="192"/>
      <c r="F397" s="192"/>
      <c r="G397" s="192">
        <f>E397+F397</f>
        <v>0</v>
      </c>
      <c r="H397" s="24" t="e">
        <f>G397/D397</f>
        <v>#DIV/0!</v>
      </c>
      <c r="I397" s="225" t="s">
        <v>216</v>
      </c>
      <c r="J397" s="175"/>
    </row>
    <row r="398" spans="1:10" s="176" customFormat="1" x14ac:dyDescent="0.25">
      <c r="A398" s="40"/>
      <c r="B398" s="190"/>
      <c r="C398" s="193"/>
      <c r="D398" s="192"/>
      <c r="E398" s="192"/>
      <c r="F398" s="192"/>
      <c r="G398" s="192"/>
      <c r="H398" s="24"/>
      <c r="I398" s="225"/>
      <c r="J398" s="175"/>
    </row>
    <row r="399" spans="1:10" s="176" customFormat="1" x14ac:dyDescent="0.25">
      <c r="A399" s="40"/>
      <c r="B399" s="167" t="s">
        <v>73</v>
      </c>
      <c r="C399" s="185" t="s">
        <v>232</v>
      </c>
      <c r="D399" s="191">
        <f>D400</f>
        <v>0</v>
      </c>
      <c r="E399" s="191"/>
      <c r="F399" s="191">
        <f t="shared" ref="F399:G399" si="133">SUM(F400)</f>
        <v>0</v>
      </c>
      <c r="G399" s="191">
        <f t="shared" si="133"/>
        <v>0</v>
      </c>
      <c r="H399" s="236" t="e">
        <f>G399/D399</f>
        <v>#DIV/0!</v>
      </c>
      <c r="I399" s="225"/>
      <c r="J399" s="175"/>
    </row>
    <row r="400" spans="1:10" s="176" customFormat="1" x14ac:dyDescent="0.25">
      <c r="A400" s="40"/>
      <c r="B400" s="190" t="s">
        <v>557</v>
      </c>
      <c r="C400" s="183" t="s">
        <v>232</v>
      </c>
      <c r="D400" s="192"/>
      <c r="E400" s="192"/>
      <c r="F400" s="192"/>
      <c r="G400" s="192">
        <f>E400+F400</f>
        <v>0</v>
      </c>
      <c r="H400" s="24" t="e">
        <f>G400/D400</f>
        <v>#DIV/0!</v>
      </c>
      <c r="I400" s="225" t="s">
        <v>216</v>
      </c>
      <c r="J400" s="175"/>
    </row>
    <row r="401" spans="1:14" s="176" customFormat="1" x14ac:dyDescent="0.25">
      <c r="A401" s="40"/>
      <c r="B401" s="190"/>
      <c r="C401" s="183"/>
      <c r="D401" s="192"/>
      <c r="E401" s="192"/>
      <c r="F401" s="192"/>
      <c r="G401" s="192"/>
      <c r="H401" s="24"/>
      <c r="I401" s="225"/>
      <c r="J401" s="175"/>
    </row>
    <row r="402" spans="1:14" s="176" customFormat="1" x14ac:dyDescent="0.25">
      <c r="A402" s="40"/>
      <c r="B402" s="167" t="s">
        <v>74</v>
      </c>
      <c r="C402" s="185" t="s">
        <v>233</v>
      </c>
      <c r="D402" s="191">
        <f>D403</f>
        <v>0</v>
      </c>
      <c r="E402" s="191"/>
      <c r="F402" s="191">
        <f t="shared" ref="F402:G402" si="134">SUM(F403)</f>
        <v>0</v>
      </c>
      <c r="G402" s="191">
        <f t="shared" si="134"/>
        <v>0</v>
      </c>
      <c r="H402" s="236" t="e">
        <f>G402/D402</f>
        <v>#DIV/0!</v>
      </c>
      <c r="I402" s="225"/>
      <c r="J402" s="175"/>
    </row>
    <row r="403" spans="1:14" s="176" customFormat="1" x14ac:dyDescent="0.25">
      <c r="A403" s="40"/>
      <c r="B403" s="190" t="s">
        <v>558</v>
      </c>
      <c r="C403" s="183" t="s">
        <v>233</v>
      </c>
      <c r="D403" s="192"/>
      <c r="E403" s="192"/>
      <c r="F403" s="192"/>
      <c r="G403" s="192">
        <f>E403+F403</f>
        <v>0</v>
      </c>
      <c r="H403" s="24" t="e">
        <f>G403/D403</f>
        <v>#DIV/0!</v>
      </c>
      <c r="I403" s="225" t="s">
        <v>216</v>
      </c>
      <c r="J403" s="175"/>
    </row>
    <row r="404" spans="1:14" s="176" customFormat="1" x14ac:dyDescent="0.25">
      <c r="A404" s="40"/>
      <c r="B404" s="22"/>
      <c r="C404" s="183"/>
      <c r="D404" s="192"/>
      <c r="E404" s="192"/>
      <c r="F404" s="192"/>
      <c r="G404" s="192"/>
      <c r="H404" s="24"/>
      <c r="I404" s="225"/>
      <c r="J404" s="175"/>
    </row>
    <row r="405" spans="1:14" s="176" customFormat="1" x14ac:dyDescent="0.25">
      <c r="A405" s="40"/>
      <c r="B405" s="167" t="s">
        <v>81</v>
      </c>
      <c r="C405" s="185" t="s">
        <v>234</v>
      </c>
      <c r="D405" s="191">
        <f>D406</f>
        <v>0</v>
      </c>
      <c r="E405" s="191"/>
      <c r="F405" s="191">
        <f t="shared" ref="F405:G405" si="135">SUM(F406)</f>
        <v>0</v>
      </c>
      <c r="G405" s="191">
        <f t="shared" si="135"/>
        <v>0</v>
      </c>
      <c r="H405" s="236" t="e">
        <f>G405/D405</f>
        <v>#DIV/0!</v>
      </c>
      <c r="I405" s="225"/>
      <c r="J405" s="175"/>
    </row>
    <row r="406" spans="1:14" s="176" customFormat="1" x14ac:dyDescent="0.25">
      <c r="A406" s="40"/>
      <c r="B406" s="190" t="s">
        <v>559</v>
      </c>
      <c r="C406" s="183" t="s">
        <v>234</v>
      </c>
      <c r="D406" s="192"/>
      <c r="E406" s="192"/>
      <c r="F406" s="192"/>
      <c r="G406" s="192">
        <f>E406+F406</f>
        <v>0</v>
      </c>
      <c r="H406" s="24" t="e">
        <f>G406/D406</f>
        <v>#DIV/0!</v>
      </c>
      <c r="I406" s="225" t="s">
        <v>216</v>
      </c>
      <c r="J406" s="175"/>
    </row>
    <row r="407" spans="1:14" s="176" customFormat="1" x14ac:dyDescent="0.25">
      <c r="A407" s="40"/>
      <c r="B407" s="22"/>
      <c r="C407" s="183"/>
      <c r="D407" s="192"/>
      <c r="E407" s="192"/>
      <c r="F407" s="192"/>
      <c r="G407" s="191"/>
      <c r="H407" s="236"/>
      <c r="I407" s="223"/>
      <c r="J407" s="175"/>
    </row>
    <row r="408" spans="1:14" s="176" customFormat="1" ht="36.75" customHeight="1" x14ac:dyDescent="0.25">
      <c r="A408" s="132" t="s">
        <v>91</v>
      </c>
      <c r="B408" s="133" t="s">
        <v>396</v>
      </c>
      <c r="C408" s="130" t="s">
        <v>236</v>
      </c>
      <c r="D408" s="131">
        <f>D409</f>
        <v>0</v>
      </c>
      <c r="E408" s="131"/>
      <c r="F408" s="131">
        <f t="shared" ref="F408:G409" si="136">F409</f>
        <v>0</v>
      </c>
      <c r="G408" s="131">
        <f t="shared" si="136"/>
        <v>0</v>
      </c>
      <c r="H408" s="239" t="e">
        <f>G408/D408</f>
        <v>#DIV/0!</v>
      </c>
      <c r="I408" s="225" t="s">
        <v>237</v>
      </c>
      <c r="J408" s="175"/>
    </row>
    <row r="409" spans="1:14" s="176" customFormat="1" ht="36.75" customHeight="1" x14ac:dyDescent="0.25">
      <c r="A409" s="122"/>
      <c r="B409" s="189" t="s">
        <v>397</v>
      </c>
      <c r="C409" s="35" t="s">
        <v>236</v>
      </c>
      <c r="D409" s="121">
        <f>D410</f>
        <v>0</v>
      </c>
      <c r="E409" s="121"/>
      <c r="F409" s="121">
        <f t="shared" si="136"/>
        <v>0</v>
      </c>
      <c r="G409" s="121">
        <f t="shared" si="136"/>
        <v>0</v>
      </c>
      <c r="H409" s="236" t="e">
        <f>G409/D409</f>
        <v>#DIV/0!</v>
      </c>
      <c r="I409" s="225"/>
      <c r="J409" s="175"/>
    </row>
    <row r="410" spans="1:14" s="176" customFormat="1" x14ac:dyDescent="0.25">
      <c r="A410" s="40"/>
      <c r="B410" s="189" t="s">
        <v>560</v>
      </c>
      <c r="C410" s="35" t="s">
        <v>236</v>
      </c>
      <c r="D410" s="121"/>
      <c r="E410" s="121"/>
      <c r="F410" s="121"/>
      <c r="G410" s="191">
        <f>E410+F410</f>
        <v>0</v>
      </c>
      <c r="H410" s="236" t="e">
        <f>G410/D410</f>
        <v>#DIV/0!</v>
      </c>
      <c r="I410" s="223"/>
      <c r="J410" s="175"/>
      <c r="N410" s="176" t="s">
        <v>580</v>
      </c>
    </row>
    <row r="411" spans="1:14" s="176" customFormat="1" ht="35.65" customHeight="1" x14ac:dyDescent="0.25">
      <c r="A411" s="40"/>
      <c r="B411" s="178"/>
      <c r="C411" s="54" t="s">
        <v>238</v>
      </c>
      <c r="D411" s="55"/>
      <c r="E411" s="55"/>
      <c r="F411" s="55"/>
      <c r="G411" s="192">
        <f>F411-D411</f>
        <v>0</v>
      </c>
      <c r="H411" s="24"/>
      <c r="I411" s="225"/>
      <c r="J411" s="175"/>
    </row>
    <row r="412" spans="1:14" s="176" customFormat="1" ht="37.15" customHeight="1" x14ac:dyDescent="0.25">
      <c r="A412" s="40"/>
      <c r="B412" s="178"/>
      <c r="C412" s="54" t="s">
        <v>239</v>
      </c>
      <c r="D412" s="55"/>
      <c r="E412" s="55"/>
      <c r="F412" s="55"/>
      <c r="G412" s="192">
        <f>F412-D412</f>
        <v>0</v>
      </c>
      <c r="H412" s="24"/>
      <c r="I412" s="225"/>
      <c r="J412" s="175"/>
    </row>
    <row r="413" spans="1:14" s="176" customFormat="1" ht="39" customHeight="1" x14ac:dyDescent="0.25">
      <c r="A413" s="40"/>
      <c r="B413" s="178"/>
      <c r="C413" s="54" t="s">
        <v>240</v>
      </c>
      <c r="D413" s="55"/>
      <c r="E413" s="55"/>
      <c r="F413" s="55"/>
      <c r="G413" s="192">
        <f>F413-D413</f>
        <v>0</v>
      </c>
      <c r="H413" s="24"/>
      <c r="I413" s="225"/>
      <c r="J413" s="175"/>
    </row>
    <row r="414" spans="1:14" s="176" customFormat="1" x14ac:dyDescent="0.25">
      <c r="A414" s="56"/>
      <c r="B414" s="57"/>
      <c r="C414" s="58"/>
      <c r="D414" s="192"/>
      <c r="E414" s="192"/>
      <c r="F414" s="192"/>
      <c r="G414" s="191"/>
      <c r="H414" s="236"/>
      <c r="I414" s="228"/>
      <c r="J414" s="175"/>
    </row>
    <row r="415" spans="1:14" s="176" customFormat="1" ht="25.5" customHeight="1" x14ac:dyDescent="0.25">
      <c r="A415" s="134" t="s">
        <v>417</v>
      </c>
      <c r="B415" s="135" t="s">
        <v>398</v>
      </c>
      <c r="C415" s="136" t="s">
        <v>399</v>
      </c>
      <c r="D415" s="137">
        <f>SUM(D416+D429)</f>
        <v>105229329081</v>
      </c>
      <c r="E415" s="137"/>
      <c r="F415" s="137">
        <f t="shared" ref="F415:G415" si="137">SUM(F416+F429)</f>
        <v>0</v>
      </c>
      <c r="G415" s="137">
        <f t="shared" si="137"/>
        <v>0</v>
      </c>
      <c r="H415" s="238">
        <f t="shared" ref="H415:H427" si="138">G415/D415</f>
        <v>0</v>
      </c>
      <c r="I415" s="229"/>
      <c r="J415" s="175"/>
    </row>
    <row r="416" spans="1:14" s="176" customFormat="1" ht="25.5" customHeight="1" x14ac:dyDescent="0.25">
      <c r="A416" s="169" t="s">
        <v>426</v>
      </c>
      <c r="B416" s="189" t="s">
        <v>400</v>
      </c>
      <c r="C416" s="185" t="s">
        <v>401</v>
      </c>
      <c r="D416" s="191">
        <f>D417</f>
        <v>105229329081</v>
      </c>
      <c r="E416" s="191"/>
      <c r="F416" s="191">
        <f t="shared" ref="F416:G416" si="139">F417</f>
        <v>0</v>
      </c>
      <c r="G416" s="191">
        <f t="shared" si="139"/>
        <v>0</v>
      </c>
      <c r="H416" s="236">
        <f t="shared" si="138"/>
        <v>0</v>
      </c>
      <c r="I416" s="230"/>
      <c r="J416" s="175"/>
    </row>
    <row r="417" spans="1:10" s="176" customFormat="1" ht="25.5" customHeight="1" x14ac:dyDescent="0.25">
      <c r="A417" s="169"/>
      <c r="B417" s="189" t="s">
        <v>402</v>
      </c>
      <c r="C417" s="185" t="s">
        <v>403</v>
      </c>
      <c r="D417" s="191">
        <f>SUM(D418:D427)</f>
        <v>105229329081</v>
      </c>
      <c r="E417" s="191"/>
      <c r="F417" s="191">
        <f t="shared" ref="F417:G417" si="140">SUM(F418:F427)</f>
        <v>0</v>
      </c>
      <c r="G417" s="191">
        <f t="shared" si="140"/>
        <v>0</v>
      </c>
      <c r="H417" s="236">
        <f t="shared" si="138"/>
        <v>0</v>
      </c>
      <c r="I417" s="230"/>
      <c r="J417" s="175"/>
    </row>
    <row r="418" spans="1:10" s="176" customFormat="1" ht="25.5" customHeight="1" x14ac:dyDescent="0.25">
      <c r="A418" s="184" t="s">
        <v>89</v>
      </c>
      <c r="B418" s="190" t="s">
        <v>561</v>
      </c>
      <c r="C418" s="183" t="s">
        <v>244</v>
      </c>
      <c r="D418" s="178">
        <v>26706000000</v>
      </c>
      <c r="E418" s="178"/>
      <c r="F418" s="178"/>
      <c r="G418" s="192">
        <f>E418+F418</f>
        <v>0</v>
      </c>
      <c r="H418" s="24">
        <f t="shared" si="138"/>
        <v>0</v>
      </c>
      <c r="I418" s="231"/>
      <c r="J418" s="175"/>
    </row>
    <row r="419" spans="1:10" s="176" customFormat="1" ht="25.5" customHeight="1" x14ac:dyDescent="0.25">
      <c r="A419" s="188"/>
      <c r="B419" s="178"/>
      <c r="C419" s="193" t="s">
        <v>664</v>
      </c>
      <c r="D419" s="55"/>
      <c r="E419" s="55"/>
      <c r="F419" s="55"/>
      <c r="G419" s="192">
        <f t="shared" ref="G419:G427" si="141">E419+F419</f>
        <v>0</v>
      </c>
      <c r="H419" s="24" t="e">
        <f t="shared" si="138"/>
        <v>#DIV/0!</v>
      </c>
      <c r="I419" s="231"/>
      <c r="J419" s="175"/>
    </row>
    <row r="420" spans="1:10" s="176" customFormat="1" ht="25.5" customHeight="1" x14ac:dyDescent="0.25">
      <c r="A420" s="184" t="s">
        <v>91</v>
      </c>
      <c r="B420" s="190" t="s">
        <v>562</v>
      </c>
      <c r="C420" s="183" t="s">
        <v>245</v>
      </c>
      <c r="D420" s="178">
        <v>16184831606</v>
      </c>
      <c r="E420" s="178"/>
      <c r="F420" s="178"/>
      <c r="G420" s="192">
        <f t="shared" si="141"/>
        <v>0</v>
      </c>
      <c r="H420" s="24">
        <f t="shared" si="138"/>
        <v>0</v>
      </c>
      <c r="I420" s="231"/>
      <c r="J420" s="175"/>
    </row>
    <row r="421" spans="1:10" s="176" customFormat="1" ht="25.5" customHeight="1" x14ac:dyDescent="0.25">
      <c r="A421" s="188"/>
      <c r="B421" s="178"/>
      <c r="C421" s="193" t="s">
        <v>665</v>
      </c>
      <c r="D421" s="55"/>
      <c r="E421" s="55"/>
      <c r="F421" s="55"/>
      <c r="G421" s="192">
        <f t="shared" si="141"/>
        <v>0</v>
      </c>
      <c r="H421" s="24" t="e">
        <f t="shared" si="138"/>
        <v>#DIV/0!</v>
      </c>
      <c r="I421" s="232"/>
      <c r="J421" s="175"/>
    </row>
    <row r="422" spans="1:10" s="176" customFormat="1" ht="25.5" customHeight="1" x14ac:dyDescent="0.25">
      <c r="A422" s="184" t="s">
        <v>72</v>
      </c>
      <c r="B422" s="190" t="s">
        <v>563</v>
      </c>
      <c r="C422" s="183" t="s">
        <v>246</v>
      </c>
      <c r="D422" s="178">
        <v>45000000000</v>
      </c>
      <c r="E422" s="178"/>
      <c r="F422" s="178"/>
      <c r="G422" s="192">
        <f t="shared" si="141"/>
        <v>0</v>
      </c>
      <c r="H422" s="24">
        <f t="shared" si="138"/>
        <v>0</v>
      </c>
      <c r="I422" s="232"/>
      <c r="J422" s="175"/>
    </row>
    <row r="423" spans="1:10" s="176" customFormat="1" ht="25.5" customHeight="1" x14ac:dyDescent="0.25">
      <c r="A423" s="188"/>
      <c r="B423" s="178"/>
      <c r="C423" s="193" t="s">
        <v>666</v>
      </c>
      <c r="D423" s="55"/>
      <c r="E423" s="55"/>
      <c r="F423" s="55"/>
      <c r="G423" s="192">
        <f t="shared" si="141"/>
        <v>0</v>
      </c>
      <c r="H423" s="24" t="e">
        <f t="shared" si="138"/>
        <v>#DIV/0!</v>
      </c>
      <c r="I423" s="231"/>
      <c r="J423" s="175"/>
    </row>
    <row r="424" spans="1:10" s="176" customFormat="1" ht="25.5" customHeight="1" x14ac:dyDescent="0.25">
      <c r="A424" s="184" t="s">
        <v>168</v>
      </c>
      <c r="B424" s="190" t="s">
        <v>564</v>
      </c>
      <c r="C424" s="183" t="s">
        <v>247</v>
      </c>
      <c r="D424" s="192">
        <v>1534998000</v>
      </c>
      <c r="E424" s="192"/>
      <c r="F424" s="192"/>
      <c r="G424" s="192">
        <f t="shared" si="141"/>
        <v>0</v>
      </c>
      <c r="H424" s="24">
        <f t="shared" si="138"/>
        <v>0</v>
      </c>
      <c r="I424" s="233"/>
      <c r="J424" s="175"/>
    </row>
    <row r="425" spans="1:10" s="176" customFormat="1" ht="25.5" customHeight="1" x14ac:dyDescent="0.25">
      <c r="A425" s="188"/>
      <c r="B425" s="178"/>
      <c r="C425" s="193" t="s">
        <v>667</v>
      </c>
      <c r="D425" s="55"/>
      <c r="E425" s="55"/>
      <c r="F425" s="55"/>
      <c r="G425" s="192">
        <f t="shared" si="141"/>
        <v>0</v>
      </c>
      <c r="H425" s="24" t="e">
        <f t="shared" si="138"/>
        <v>#DIV/0!</v>
      </c>
      <c r="I425" s="232"/>
      <c r="J425" s="175"/>
    </row>
    <row r="426" spans="1:10" s="176" customFormat="1" ht="25.5" customHeight="1" x14ac:dyDescent="0.25">
      <c r="A426" s="184" t="s">
        <v>404</v>
      </c>
      <c r="B426" s="190" t="s">
        <v>565</v>
      </c>
      <c r="C426" s="183" t="s">
        <v>248</v>
      </c>
      <c r="D426" s="178">
        <v>15803499475</v>
      </c>
      <c r="E426" s="178"/>
      <c r="F426" s="178"/>
      <c r="G426" s="192">
        <f t="shared" si="141"/>
        <v>0</v>
      </c>
      <c r="H426" s="24">
        <f t="shared" si="138"/>
        <v>0</v>
      </c>
      <c r="I426" s="232"/>
      <c r="J426" s="175"/>
    </row>
    <row r="427" spans="1:10" s="176" customFormat="1" ht="25.5" customHeight="1" x14ac:dyDescent="0.25">
      <c r="A427" s="188"/>
      <c r="B427" s="178"/>
      <c r="C427" s="193" t="s">
        <v>668</v>
      </c>
      <c r="D427" s="55"/>
      <c r="E427" s="55"/>
      <c r="F427" s="55"/>
      <c r="G427" s="192">
        <f t="shared" si="141"/>
        <v>0</v>
      </c>
      <c r="H427" s="24" t="e">
        <f t="shared" si="138"/>
        <v>#DIV/0!</v>
      </c>
      <c r="I427" s="231"/>
      <c r="J427" s="175"/>
    </row>
    <row r="428" spans="1:10" s="176" customFormat="1" ht="25.5" customHeight="1" x14ac:dyDescent="0.25">
      <c r="A428" s="188"/>
      <c r="B428" s="178"/>
      <c r="C428" s="193"/>
      <c r="D428" s="55"/>
      <c r="E428" s="55"/>
      <c r="F428" s="55"/>
      <c r="G428" s="192"/>
      <c r="H428" s="24"/>
      <c r="I428" s="231"/>
      <c r="J428" s="175"/>
    </row>
    <row r="429" spans="1:10" s="176" customFormat="1" ht="25.5" customHeight="1" x14ac:dyDescent="0.25">
      <c r="A429" s="169" t="s">
        <v>163</v>
      </c>
      <c r="B429" s="189" t="s">
        <v>425</v>
      </c>
      <c r="C429" s="185" t="s">
        <v>428</v>
      </c>
      <c r="D429" s="53">
        <f>SUM(D430+D432)</f>
        <v>0</v>
      </c>
      <c r="E429" s="53"/>
      <c r="F429" s="53">
        <f t="shared" ref="F429:G429" si="142">SUM(F430+F432)</f>
        <v>0</v>
      </c>
      <c r="G429" s="53">
        <f t="shared" si="142"/>
        <v>0</v>
      </c>
      <c r="H429" s="236" t="e">
        <f>G429/D429</f>
        <v>#DIV/0!</v>
      </c>
      <c r="I429" s="231"/>
      <c r="J429" s="175"/>
    </row>
    <row r="430" spans="1:10" s="176" customFormat="1" ht="25.5" customHeight="1" x14ac:dyDescent="0.25">
      <c r="A430" s="188"/>
      <c r="B430" s="189" t="s">
        <v>429</v>
      </c>
      <c r="C430" s="185" t="s">
        <v>430</v>
      </c>
      <c r="D430" s="55">
        <f>D431</f>
        <v>0</v>
      </c>
      <c r="E430" s="55"/>
      <c r="F430" s="55">
        <f>F431</f>
        <v>0</v>
      </c>
      <c r="G430" s="192">
        <f>F430-D430</f>
        <v>0</v>
      </c>
      <c r="H430" s="24"/>
      <c r="I430" s="231"/>
      <c r="J430" s="175"/>
    </row>
    <row r="431" spans="1:10" s="176" customFormat="1" ht="25.5" customHeight="1" x14ac:dyDescent="0.25">
      <c r="A431" s="188"/>
      <c r="B431" s="189" t="s">
        <v>431</v>
      </c>
      <c r="C431" s="185" t="s">
        <v>432</v>
      </c>
      <c r="D431" s="55"/>
      <c r="E431" s="55"/>
      <c r="F431" s="55"/>
      <c r="G431" s="192">
        <f>F431-D431</f>
        <v>0</v>
      </c>
      <c r="H431" s="24"/>
      <c r="I431" s="231"/>
      <c r="J431" s="175"/>
    </row>
    <row r="432" spans="1:10" s="176" customFormat="1" ht="25.5" customHeight="1" x14ac:dyDescent="0.25">
      <c r="A432" s="188"/>
      <c r="B432" s="189" t="s">
        <v>433</v>
      </c>
      <c r="C432" s="185" t="s">
        <v>434</v>
      </c>
      <c r="D432" s="53">
        <f>D433+D435+D436</f>
        <v>0</v>
      </c>
      <c r="E432" s="53"/>
      <c r="F432" s="53">
        <f t="shared" ref="F432:G432" si="143">F433+F435+F436</f>
        <v>0</v>
      </c>
      <c r="G432" s="53">
        <f t="shared" si="143"/>
        <v>0</v>
      </c>
      <c r="H432" s="236" t="e">
        <f t="shared" ref="H432:H446" si="144">G432/D432</f>
        <v>#DIV/0!</v>
      </c>
      <c r="I432" s="231"/>
      <c r="J432" s="175"/>
    </row>
    <row r="433" spans="1:10" s="176" customFormat="1" ht="25.5" customHeight="1" x14ac:dyDescent="0.25">
      <c r="A433" s="188"/>
      <c r="B433" s="189" t="s">
        <v>566</v>
      </c>
      <c r="C433" s="185" t="s">
        <v>445</v>
      </c>
      <c r="D433" s="53">
        <f>D434</f>
        <v>0</v>
      </c>
      <c r="E433" s="53"/>
      <c r="F433" s="53">
        <f t="shared" ref="F433:G433" si="145">F434</f>
        <v>0</v>
      </c>
      <c r="G433" s="53">
        <f t="shared" si="145"/>
        <v>0</v>
      </c>
      <c r="H433" s="236" t="e">
        <f t="shared" si="144"/>
        <v>#DIV/0!</v>
      </c>
      <c r="I433" s="231"/>
      <c r="J433" s="175"/>
    </row>
    <row r="434" spans="1:10" s="176" customFormat="1" ht="25.5" customHeight="1" x14ac:dyDescent="0.25">
      <c r="A434" s="188"/>
      <c r="B434" s="189"/>
      <c r="C434" s="35" t="s">
        <v>602</v>
      </c>
      <c r="D434" s="53"/>
      <c r="E434" s="53"/>
      <c r="F434" s="53"/>
      <c r="G434" s="191">
        <f>E434+F434</f>
        <v>0</v>
      </c>
      <c r="H434" s="236" t="e">
        <f t="shared" si="144"/>
        <v>#DIV/0!</v>
      </c>
      <c r="I434" s="231"/>
      <c r="J434" s="175"/>
    </row>
    <row r="435" spans="1:10" s="176" customFormat="1" ht="25.5" customHeight="1" x14ac:dyDescent="0.25">
      <c r="A435" s="188"/>
      <c r="B435" s="189"/>
      <c r="C435" s="35" t="s">
        <v>603</v>
      </c>
      <c r="D435" s="53"/>
      <c r="E435" s="53"/>
      <c r="F435" s="53"/>
      <c r="G435" s="191">
        <f t="shared" ref="G435:G438" si="146">E435+F435</f>
        <v>0</v>
      </c>
      <c r="H435" s="236" t="e">
        <f t="shared" si="144"/>
        <v>#DIV/0!</v>
      </c>
      <c r="I435" s="231"/>
      <c r="J435" s="175"/>
    </row>
    <row r="436" spans="1:10" s="176" customFormat="1" ht="25.5" customHeight="1" x14ac:dyDescent="0.25">
      <c r="A436" s="188"/>
      <c r="B436" s="189"/>
      <c r="C436" s="35" t="s">
        <v>604</v>
      </c>
      <c r="D436" s="53">
        <f>SUM(D437:D438)</f>
        <v>0</v>
      </c>
      <c r="E436" s="53"/>
      <c r="F436" s="53">
        <f t="shared" ref="F436" si="147">SUM(F437:F438)</f>
        <v>0</v>
      </c>
      <c r="G436" s="191">
        <f t="shared" si="146"/>
        <v>0</v>
      </c>
      <c r="H436" s="236" t="e">
        <f t="shared" si="144"/>
        <v>#DIV/0!</v>
      </c>
      <c r="I436" s="231"/>
      <c r="J436" s="175"/>
    </row>
    <row r="437" spans="1:10" s="176" customFormat="1" ht="25.5" customHeight="1" x14ac:dyDescent="0.25">
      <c r="A437" s="188"/>
      <c r="B437" s="189"/>
      <c r="C437" s="193" t="s">
        <v>605</v>
      </c>
      <c r="D437" s="55"/>
      <c r="E437" s="55"/>
      <c r="F437" s="55"/>
      <c r="G437" s="191">
        <f t="shared" si="146"/>
        <v>0</v>
      </c>
      <c r="H437" s="24" t="e">
        <f t="shared" si="144"/>
        <v>#DIV/0!</v>
      </c>
      <c r="I437" s="231"/>
      <c r="J437" s="175"/>
    </row>
    <row r="438" spans="1:10" s="176" customFormat="1" ht="25.5" customHeight="1" x14ac:dyDescent="0.25">
      <c r="A438" s="188"/>
      <c r="B438" s="178"/>
      <c r="C438" s="193" t="s">
        <v>606</v>
      </c>
      <c r="D438" s="55"/>
      <c r="E438" s="55"/>
      <c r="F438" s="55"/>
      <c r="G438" s="191">
        <f t="shared" si="146"/>
        <v>0</v>
      </c>
      <c r="H438" s="24" t="e">
        <f t="shared" si="144"/>
        <v>#DIV/0!</v>
      </c>
      <c r="I438" s="231"/>
      <c r="J438" s="175"/>
    </row>
    <row r="439" spans="1:10" s="176" customFormat="1" ht="25.5" customHeight="1" x14ac:dyDescent="0.25">
      <c r="A439" s="129" t="s">
        <v>241</v>
      </c>
      <c r="B439" s="128" t="s">
        <v>242</v>
      </c>
      <c r="C439" s="41" t="s">
        <v>243</v>
      </c>
      <c r="D439" s="42">
        <f>D440</f>
        <v>0</v>
      </c>
      <c r="E439" s="42"/>
      <c r="F439" s="42">
        <f t="shared" ref="F439:G439" si="148">F440</f>
        <v>0</v>
      </c>
      <c r="G439" s="42">
        <f t="shared" si="148"/>
        <v>0</v>
      </c>
      <c r="H439" s="237" t="e">
        <f t="shared" si="144"/>
        <v>#DIV/0!</v>
      </c>
      <c r="I439" s="231"/>
      <c r="J439" s="175"/>
    </row>
    <row r="440" spans="1:10" s="176" customFormat="1" ht="41.25" customHeight="1" x14ac:dyDescent="0.25">
      <c r="A440" s="168" t="s">
        <v>166</v>
      </c>
      <c r="B440" s="189" t="s">
        <v>418</v>
      </c>
      <c r="C440" s="30" t="s">
        <v>419</v>
      </c>
      <c r="D440" s="191">
        <f>D441</f>
        <v>0</v>
      </c>
      <c r="E440" s="191"/>
      <c r="F440" s="191">
        <f t="shared" ref="F440:G440" si="149">F441</f>
        <v>0</v>
      </c>
      <c r="G440" s="191">
        <f t="shared" si="149"/>
        <v>0</v>
      </c>
      <c r="H440" s="236" t="e">
        <f t="shared" si="144"/>
        <v>#DIV/0!</v>
      </c>
      <c r="I440" s="231"/>
      <c r="J440" s="175"/>
    </row>
    <row r="441" spans="1:10" s="176" customFormat="1" ht="25.5" customHeight="1" x14ac:dyDescent="0.25">
      <c r="A441" s="169"/>
      <c r="B441" s="189" t="s">
        <v>420</v>
      </c>
      <c r="C441" s="185" t="s">
        <v>421</v>
      </c>
      <c r="D441" s="191">
        <f>D442+D456</f>
        <v>0</v>
      </c>
      <c r="E441" s="191"/>
      <c r="F441" s="191">
        <f t="shared" ref="F441:G441" si="150">F442+F456</f>
        <v>0</v>
      </c>
      <c r="G441" s="191">
        <f t="shared" si="150"/>
        <v>0</v>
      </c>
      <c r="H441" s="236" t="e">
        <f t="shared" si="144"/>
        <v>#DIV/0!</v>
      </c>
      <c r="I441" s="231"/>
      <c r="J441" s="175"/>
    </row>
    <row r="442" spans="1:10" s="176" customFormat="1" ht="25.5" customHeight="1" x14ac:dyDescent="0.25">
      <c r="A442" s="168" t="s">
        <v>89</v>
      </c>
      <c r="B442" s="189" t="s">
        <v>422</v>
      </c>
      <c r="C442" s="185" t="s">
        <v>423</v>
      </c>
      <c r="D442" s="191">
        <f>D443</f>
        <v>0</v>
      </c>
      <c r="E442" s="191"/>
      <c r="F442" s="191">
        <f t="shared" ref="F442:G442" si="151">F443</f>
        <v>0</v>
      </c>
      <c r="G442" s="191">
        <f t="shared" si="151"/>
        <v>0</v>
      </c>
      <c r="H442" s="236" t="e">
        <f t="shared" si="144"/>
        <v>#DIV/0!</v>
      </c>
      <c r="I442" s="231"/>
      <c r="J442" s="175"/>
    </row>
    <row r="443" spans="1:10" s="176" customFormat="1" ht="25.5" customHeight="1" x14ac:dyDescent="0.25">
      <c r="A443" s="169"/>
      <c r="B443" s="190" t="s">
        <v>424</v>
      </c>
      <c r="C443" s="183" t="s">
        <v>423</v>
      </c>
      <c r="D443" s="192"/>
      <c r="E443" s="192"/>
      <c r="F443" s="192"/>
      <c r="G443" s="192">
        <f>E443+F443</f>
        <v>0</v>
      </c>
      <c r="H443" s="24" t="e">
        <f t="shared" si="144"/>
        <v>#DIV/0!</v>
      </c>
      <c r="I443" s="231"/>
      <c r="J443" s="175"/>
    </row>
    <row r="444" spans="1:10" s="176" customFormat="1" ht="25.5" customHeight="1" x14ac:dyDescent="0.25">
      <c r="A444" s="169"/>
      <c r="B444" s="190"/>
      <c r="C444" s="193" t="s">
        <v>607</v>
      </c>
      <c r="D444" s="192"/>
      <c r="E444" s="192"/>
      <c r="F444" s="192"/>
      <c r="G444" s="192"/>
      <c r="H444" s="24" t="e">
        <f t="shared" si="144"/>
        <v>#DIV/0!</v>
      </c>
      <c r="I444" s="231"/>
      <c r="J444" s="175"/>
    </row>
    <row r="445" spans="1:10" s="176" customFormat="1" ht="25.5" customHeight="1" x14ac:dyDescent="0.25">
      <c r="A445" s="169"/>
      <c r="B445" s="190"/>
      <c r="C445" s="193" t="s">
        <v>608</v>
      </c>
      <c r="D445" s="192"/>
      <c r="E445" s="192"/>
      <c r="F445" s="192"/>
      <c r="G445" s="192"/>
      <c r="H445" s="24" t="e">
        <f t="shared" si="144"/>
        <v>#DIV/0!</v>
      </c>
      <c r="I445" s="231"/>
      <c r="J445" s="175"/>
    </row>
    <row r="446" spans="1:10" s="176" customFormat="1" ht="25.5" customHeight="1" x14ac:dyDescent="0.25">
      <c r="A446" s="169"/>
      <c r="B446" s="190"/>
      <c r="C446" s="193" t="s">
        <v>609</v>
      </c>
      <c r="D446" s="192"/>
      <c r="E446" s="192"/>
      <c r="F446" s="192"/>
      <c r="G446" s="192"/>
      <c r="H446" s="24" t="e">
        <f t="shared" si="144"/>
        <v>#DIV/0!</v>
      </c>
      <c r="I446" s="231"/>
      <c r="J446" s="175"/>
    </row>
    <row r="447" spans="1:10" s="176" customFormat="1" ht="25.5" customHeight="1" x14ac:dyDescent="0.25">
      <c r="A447" s="169"/>
      <c r="B447" s="190"/>
      <c r="C447" s="183" t="s">
        <v>610</v>
      </c>
      <c r="D447" s="192"/>
      <c r="E447" s="192"/>
      <c r="F447" s="192"/>
      <c r="G447" s="192"/>
      <c r="H447" s="24"/>
      <c r="I447" s="231"/>
      <c r="J447" s="175"/>
    </row>
    <row r="448" spans="1:10" s="176" customFormat="1" ht="25.5" customHeight="1" x14ac:dyDescent="0.25">
      <c r="A448" s="169"/>
      <c r="B448" s="190"/>
      <c r="C448" s="183" t="s">
        <v>611</v>
      </c>
      <c r="D448" s="192"/>
      <c r="E448" s="192"/>
      <c r="F448" s="192"/>
      <c r="G448" s="192"/>
      <c r="H448" s="24"/>
      <c r="I448" s="231"/>
      <c r="J448" s="175"/>
    </row>
    <row r="449" spans="1:10" s="176" customFormat="1" ht="25.5" customHeight="1" x14ac:dyDescent="0.25">
      <c r="A449" s="169"/>
      <c r="B449" s="190"/>
      <c r="C449" s="183" t="s">
        <v>612</v>
      </c>
      <c r="D449" s="192"/>
      <c r="E449" s="192"/>
      <c r="F449" s="192"/>
      <c r="G449" s="192"/>
      <c r="H449" s="24"/>
      <c r="I449" s="231"/>
      <c r="J449" s="175"/>
    </row>
    <row r="450" spans="1:10" s="176" customFormat="1" ht="25.5" customHeight="1" x14ac:dyDescent="0.25">
      <c r="A450" s="169"/>
      <c r="B450" s="190"/>
      <c r="C450" s="183" t="s">
        <v>613</v>
      </c>
      <c r="D450" s="192"/>
      <c r="E450" s="192"/>
      <c r="F450" s="192"/>
      <c r="G450" s="192"/>
      <c r="H450" s="24"/>
      <c r="I450" s="231"/>
      <c r="J450" s="175"/>
    </row>
    <row r="451" spans="1:10" s="176" customFormat="1" ht="25.5" customHeight="1" x14ac:dyDescent="0.25">
      <c r="A451" s="169"/>
      <c r="B451" s="190"/>
      <c r="C451" s="193" t="s">
        <v>614</v>
      </c>
      <c r="D451" s="192"/>
      <c r="E451" s="192"/>
      <c r="F451" s="192"/>
      <c r="G451" s="192"/>
      <c r="H451" s="24" t="e">
        <f>G451/D451</f>
        <v>#DIV/0!</v>
      </c>
      <c r="I451" s="231"/>
      <c r="J451" s="175"/>
    </row>
    <row r="452" spans="1:10" s="176" customFormat="1" ht="25.5" customHeight="1" x14ac:dyDescent="0.25">
      <c r="A452" s="169"/>
      <c r="B452" s="190"/>
      <c r="C452" s="183" t="s">
        <v>616</v>
      </c>
      <c r="D452" s="192"/>
      <c r="E452" s="192"/>
      <c r="F452" s="192"/>
      <c r="G452" s="192"/>
      <c r="H452" s="24"/>
      <c r="I452" s="231"/>
      <c r="J452" s="175"/>
    </row>
    <row r="453" spans="1:10" s="176" customFormat="1" ht="25.5" customHeight="1" x14ac:dyDescent="0.25">
      <c r="A453" s="169"/>
      <c r="B453" s="190"/>
      <c r="C453" s="183" t="s">
        <v>615</v>
      </c>
      <c r="D453" s="192"/>
      <c r="E453" s="192"/>
      <c r="F453" s="192"/>
      <c r="G453" s="192"/>
      <c r="H453" s="24"/>
      <c r="I453" s="231"/>
      <c r="J453" s="175"/>
    </row>
    <row r="454" spans="1:10" s="176" customFormat="1" ht="25.5" customHeight="1" x14ac:dyDescent="0.25">
      <c r="A454" s="169"/>
      <c r="B454" s="190"/>
      <c r="C454" s="183" t="s">
        <v>617</v>
      </c>
      <c r="D454" s="192"/>
      <c r="E454" s="192"/>
      <c r="F454" s="192"/>
      <c r="G454" s="192"/>
      <c r="H454" s="24"/>
      <c r="I454" s="231"/>
      <c r="J454" s="175"/>
    </row>
    <row r="455" spans="1:10" s="176" customFormat="1" ht="25.5" customHeight="1" x14ac:dyDescent="0.25">
      <c r="A455" s="169"/>
      <c r="B455" s="190"/>
      <c r="C455" s="183"/>
      <c r="D455" s="192"/>
      <c r="E455" s="192"/>
      <c r="F455" s="192"/>
      <c r="G455" s="192"/>
      <c r="H455" s="24"/>
      <c r="I455" s="231"/>
      <c r="J455" s="175"/>
    </row>
    <row r="456" spans="1:10" s="176" customFormat="1" ht="25.5" customHeight="1" x14ac:dyDescent="0.25">
      <c r="A456" s="168" t="s">
        <v>91</v>
      </c>
      <c r="B456" s="189" t="s">
        <v>618</v>
      </c>
      <c r="C456" s="185" t="s">
        <v>620</v>
      </c>
      <c r="D456" s="191">
        <f>D457</f>
        <v>0</v>
      </c>
      <c r="E456" s="191"/>
      <c r="F456" s="191">
        <f t="shared" ref="F456:G456" si="152">F457</f>
        <v>0</v>
      </c>
      <c r="G456" s="191">
        <f t="shared" si="152"/>
        <v>0</v>
      </c>
      <c r="H456" s="236" t="e">
        <f>G456/D456</f>
        <v>#DIV/0!</v>
      </c>
      <c r="I456" s="231"/>
      <c r="J456" s="175"/>
    </row>
    <row r="457" spans="1:10" s="176" customFormat="1" ht="32.25" customHeight="1" x14ac:dyDescent="0.25">
      <c r="A457" s="169"/>
      <c r="B457" s="190" t="s">
        <v>619</v>
      </c>
      <c r="C457" s="58" t="s">
        <v>621</v>
      </c>
      <c r="D457" s="192">
        <v>0</v>
      </c>
      <c r="E457" s="192"/>
      <c r="F457" s="192"/>
      <c r="G457" s="192"/>
      <c r="H457" s="24" t="e">
        <f>G457/D457</f>
        <v>#DIV/0!</v>
      </c>
      <c r="I457" s="231"/>
      <c r="J457" s="175"/>
    </row>
    <row r="458" spans="1:10" s="176" customFormat="1" ht="25.5" customHeight="1" x14ac:dyDescent="0.25">
      <c r="A458" s="169"/>
      <c r="B458" s="190"/>
      <c r="C458" s="183"/>
      <c r="D458" s="192"/>
      <c r="E458" s="192"/>
      <c r="F458" s="192"/>
      <c r="G458" s="192"/>
      <c r="H458" s="24"/>
      <c r="I458" s="231"/>
      <c r="J458" s="175"/>
    </row>
    <row r="459" spans="1:10" s="176" customFormat="1" ht="30.75" customHeight="1" thickBot="1" x14ac:dyDescent="0.3">
      <c r="A459" s="59"/>
      <c r="B459" s="60"/>
      <c r="C459" s="61" t="s">
        <v>249</v>
      </c>
      <c r="D459" s="62">
        <f>D11</f>
        <v>1141467482471</v>
      </c>
      <c r="E459" s="62"/>
      <c r="F459" s="62">
        <f>F11</f>
        <v>88000958539.350006</v>
      </c>
      <c r="G459" s="62">
        <f>G11</f>
        <v>88000958539.350006</v>
      </c>
      <c r="H459" s="242">
        <f>G459/D459</f>
        <v>7.7094582097817888E-2</v>
      </c>
      <c r="I459" s="234"/>
      <c r="J459" s="175"/>
    </row>
    <row r="460" spans="1:10" s="176" customFormat="1" hidden="1" x14ac:dyDescent="0.25">
      <c r="A460" s="63"/>
      <c r="B460" s="64"/>
      <c r="C460" s="65"/>
      <c r="D460" s="66"/>
      <c r="E460" s="66"/>
      <c r="F460" s="66"/>
      <c r="G460" s="66"/>
      <c r="H460" s="66"/>
      <c r="I460" s="67" t="e">
        <f>SUM(F460/D460)</f>
        <v>#DIV/0!</v>
      </c>
      <c r="J460" s="175"/>
    </row>
    <row r="461" spans="1:10" s="176" customFormat="1" hidden="1" x14ac:dyDescent="0.25">
      <c r="A461" s="68" t="s">
        <v>250</v>
      </c>
      <c r="B461" s="69" t="s">
        <v>46</v>
      </c>
      <c r="C461" s="70" t="s">
        <v>251</v>
      </c>
      <c r="D461" s="71" t="e">
        <f>SUM(#REF!-#REF!)</f>
        <v>#REF!</v>
      </c>
      <c r="E461" s="71"/>
      <c r="F461" s="71" t="e">
        <f>SUM(#REF!-#REF!)</f>
        <v>#REF!</v>
      </c>
      <c r="G461" s="71"/>
      <c r="H461" s="71"/>
      <c r="I461" s="72" t="e">
        <f>SUM(F461/#REF!)</f>
        <v>#REF!</v>
      </c>
      <c r="J461" s="175"/>
    </row>
    <row r="462" spans="1:10" s="176" customFormat="1" hidden="1" x14ac:dyDescent="0.25">
      <c r="A462" s="68"/>
      <c r="B462" s="69" t="s">
        <v>252</v>
      </c>
      <c r="C462" s="70" t="s">
        <v>253</v>
      </c>
      <c r="D462" s="71" t="e">
        <f>SUM(#REF!-#REF!)</f>
        <v>#REF!</v>
      </c>
      <c r="E462" s="71"/>
      <c r="F462" s="71" t="e">
        <f>SUM(#REF!-#REF!)</f>
        <v>#REF!</v>
      </c>
      <c r="G462" s="71"/>
      <c r="H462" s="71"/>
      <c r="I462" s="72" t="e">
        <f>SUM(F462/#REF!)</f>
        <v>#REF!</v>
      </c>
      <c r="J462" s="175"/>
    </row>
    <row r="463" spans="1:10" s="176" customFormat="1" hidden="1" x14ac:dyDescent="0.25">
      <c r="A463" s="68"/>
      <c r="B463" s="69" t="s">
        <v>254</v>
      </c>
      <c r="C463" s="70" t="s">
        <v>255</v>
      </c>
      <c r="D463" s="71" t="e">
        <f>SUM(#REF!-#REF!)</f>
        <v>#REF!</v>
      </c>
      <c r="E463" s="71"/>
      <c r="F463" s="71" t="e">
        <f>SUM(#REF!-#REF!)</f>
        <v>#REF!</v>
      </c>
      <c r="G463" s="71"/>
      <c r="H463" s="71"/>
      <c r="I463" s="72" t="e">
        <f>SUM(F463/#REF!)</f>
        <v>#REF!</v>
      </c>
      <c r="J463" s="175"/>
    </row>
    <row r="464" spans="1:10" s="176" customFormat="1" hidden="1" x14ac:dyDescent="0.25">
      <c r="A464" s="68"/>
      <c r="B464" s="69" t="s">
        <v>256</v>
      </c>
      <c r="C464" s="70" t="s">
        <v>257</v>
      </c>
      <c r="D464" s="71" t="e">
        <f>SUM(#REF!-#REF!)</f>
        <v>#REF!</v>
      </c>
      <c r="E464" s="71"/>
      <c r="F464" s="71" t="e">
        <f>SUM(#REF!-#REF!)</f>
        <v>#REF!</v>
      </c>
      <c r="G464" s="71"/>
      <c r="H464" s="71"/>
      <c r="I464" s="72">
        <v>1</v>
      </c>
      <c r="J464" s="175"/>
    </row>
    <row r="465" spans="1:10" s="176" customFormat="1" hidden="1" x14ac:dyDescent="0.25">
      <c r="A465" s="68"/>
      <c r="B465" s="69" t="s">
        <v>258</v>
      </c>
      <c r="C465" s="70" t="s">
        <v>259</v>
      </c>
      <c r="D465" s="71" t="e">
        <f>SUM(#REF!-#REF!)</f>
        <v>#REF!</v>
      </c>
      <c r="E465" s="71"/>
      <c r="F465" s="71" t="e">
        <f>SUM(#REF!-#REF!)</f>
        <v>#REF!</v>
      </c>
      <c r="G465" s="71"/>
      <c r="H465" s="71"/>
      <c r="I465" s="72">
        <v>1</v>
      </c>
      <c r="J465" s="175"/>
    </row>
    <row r="466" spans="1:10" s="176" customFormat="1" hidden="1" x14ac:dyDescent="0.25">
      <c r="A466" s="68"/>
      <c r="B466" s="73" t="s">
        <v>260</v>
      </c>
      <c r="C466" s="74" t="s">
        <v>261</v>
      </c>
      <c r="D466" s="38" t="e">
        <f>SUM(#REF!-#REF!)</f>
        <v>#REF!</v>
      </c>
      <c r="E466" s="38"/>
      <c r="F466" s="38" t="e">
        <f>SUM(#REF!-#REF!)</f>
        <v>#REF!</v>
      </c>
      <c r="G466" s="38"/>
      <c r="H466" s="38"/>
      <c r="I466" s="75">
        <v>1</v>
      </c>
      <c r="J466" s="175"/>
    </row>
    <row r="467" spans="1:10" s="176" customFormat="1" hidden="1" x14ac:dyDescent="0.25">
      <c r="A467" s="68"/>
      <c r="B467" s="76"/>
      <c r="C467" s="74" t="s">
        <v>262</v>
      </c>
      <c r="D467" s="38" t="e">
        <f>SUM(#REF!-#REF!)</f>
        <v>#REF!</v>
      </c>
      <c r="E467" s="38"/>
      <c r="F467" s="38" t="e">
        <f>SUM(#REF!-#REF!)</f>
        <v>#REF!</v>
      </c>
      <c r="G467" s="38"/>
      <c r="H467" s="38"/>
      <c r="I467" s="75">
        <v>1</v>
      </c>
      <c r="J467" s="175"/>
    </row>
    <row r="468" spans="1:10" s="176" customFormat="1" ht="18" hidden="1" customHeight="1" x14ac:dyDescent="0.25">
      <c r="A468" s="68"/>
      <c r="B468" s="77"/>
      <c r="C468" s="78" t="s">
        <v>263</v>
      </c>
      <c r="D468" s="38" t="e">
        <f>SUM(#REF!-#REF!)</f>
        <v>#REF!</v>
      </c>
      <c r="E468" s="38"/>
      <c r="F468" s="38" t="e">
        <f>SUM(#REF!-#REF!)</f>
        <v>#REF!</v>
      </c>
      <c r="G468" s="38"/>
      <c r="H468" s="38"/>
      <c r="I468" s="72" t="e">
        <f>SUM(F468/#REF!)</f>
        <v>#REF!</v>
      </c>
      <c r="J468" s="175"/>
    </row>
    <row r="469" spans="1:10" s="175" customFormat="1" x14ac:dyDescent="0.25">
      <c r="A469" s="1"/>
      <c r="B469" s="79"/>
      <c r="C469" s="289"/>
      <c r="D469" s="80"/>
      <c r="E469" s="80"/>
      <c r="F469" s="80"/>
      <c r="G469" s="80"/>
      <c r="H469" s="80"/>
      <c r="I469" s="289"/>
    </row>
    <row r="470" spans="1:10" s="175" customFormat="1" x14ac:dyDescent="0.25">
      <c r="A470" s="1"/>
      <c r="B470" s="79"/>
      <c r="C470" s="289"/>
      <c r="D470" s="194"/>
      <c r="E470" s="194"/>
      <c r="F470" s="194"/>
      <c r="G470" s="194"/>
      <c r="H470" s="194"/>
    </row>
    <row r="471" spans="1:10" s="175" customFormat="1" x14ac:dyDescent="0.25">
      <c r="A471" s="287"/>
      <c r="B471" s="288"/>
      <c r="C471" s="289"/>
      <c r="G471" s="291" t="s">
        <v>641</v>
      </c>
      <c r="H471" s="194"/>
    </row>
    <row r="472" spans="1:10" s="175" customFormat="1" x14ac:dyDescent="0.25">
      <c r="A472" s="1"/>
      <c r="B472" s="79"/>
      <c r="C472" s="289"/>
      <c r="G472" s="291" t="s">
        <v>630</v>
      </c>
      <c r="H472" s="201"/>
    </row>
    <row r="473" spans="1:10" s="175" customFormat="1" x14ac:dyDescent="0.25">
      <c r="A473" s="1"/>
      <c r="B473" s="79"/>
      <c r="C473" s="289"/>
      <c r="G473" s="291"/>
      <c r="H473" s="195"/>
    </row>
    <row r="474" spans="1:10" s="175" customFormat="1" x14ac:dyDescent="0.25">
      <c r="A474" s="1"/>
      <c r="B474" s="79"/>
      <c r="C474" s="289"/>
      <c r="G474" s="291"/>
      <c r="H474" s="195"/>
    </row>
    <row r="475" spans="1:10" s="175" customFormat="1" x14ac:dyDescent="0.25">
      <c r="A475" s="1"/>
      <c r="B475" s="79"/>
      <c r="C475" s="289"/>
      <c r="G475" s="291"/>
      <c r="H475" s="195"/>
    </row>
    <row r="476" spans="1:10" s="175" customFormat="1" x14ac:dyDescent="0.25">
      <c r="A476" s="1"/>
      <c r="B476" s="79"/>
      <c r="C476" s="289"/>
      <c r="G476" s="292" t="s">
        <v>579</v>
      </c>
      <c r="H476" s="195"/>
    </row>
    <row r="477" spans="1:10" s="175" customFormat="1" x14ac:dyDescent="0.25">
      <c r="A477" s="1"/>
      <c r="B477" s="79"/>
      <c r="C477" s="289"/>
      <c r="G477" s="291" t="s">
        <v>577</v>
      </c>
      <c r="H477" s="201"/>
    </row>
    <row r="478" spans="1:10" x14ac:dyDescent="0.25">
      <c r="G478" s="291" t="s">
        <v>576</v>
      </c>
    </row>
  </sheetData>
  <mergeCells count="11">
    <mergeCell ref="I7:I8"/>
    <mergeCell ref="B2:C2"/>
    <mergeCell ref="B3:C3"/>
    <mergeCell ref="B4:C4"/>
    <mergeCell ref="B5:C5"/>
    <mergeCell ref="F6:H6"/>
    <mergeCell ref="A7:A8"/>
    <mergeCell ref="B7:B8"/>
    <mergeCell ref="C7:C8"/>
    <mergeCell ref="H7:H8"/>
    <mergeCell ref="E7:G7"/>
  </mergeCells>
  <pageMargins left="0.59" right="0.15748031496062992" top="1.27" bottom="0.47244094488188981" header="0.39370078740157483" footer="0.23622047244094491"/>
  <pageSetup paperSize="9" scale="5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M62"/>
  <sheetViews>
    <sheetView topLeftCell="A7" zoomScale="79" zoomScaleNormal="79" workbookViewId="0">
      <selection activeCell="G26" sqref="G26"/>
    </sheetView>
  </sheetViews>
  <sheetFormatPr defaultColWidth="9.28515625" defaultRowHeight="13.15" customHeight="1" x14ac:dyDescent="0.25"/>
  <cols>
    <col min="1" max="1" width="6.7109375" style="113" customWidth="1"/>
    <col min="2" max="2" width="16.140625" style="113" customWidth="1"/>
    <col min="3" max="3" width="56" style="81" customWidth="1"/>
    <col min="4" max="4" width="29.5703125" style="81" customWidth="1"/>
    <col min="5" max="5" width="29.140625" style="81" customWidth="1"/>
    <col min="6" max="6" width="28.42578125" style="81" customWidth="1"/>
    <col min="7" max="7" width="28.85546875" style="81" customWidth="1"/>
    <col min="8" max="8" width="12.85546875" style="81" bestFit="1" customWidth="1"/>
    <col min="9" max="9" width="27.7109375" style="271" bestFit="1" customWidth="1"/>
    <col min="10" max="10" width="33" style="271" customWidth="1"/>
    <col min="11" max="11" width="27" style="81" bestFit="1" customWidth="1"/>
    <col min="12" max="12" width="9.28515625" style="81"/>
    <col min="13" max="13" width="23.5703125" style="81" customWidth="1"/>
    <col min="14" max="30" width="9.28515625" style="81" customWidth="1"/>
    <col min="31" max="16384" width="9.28515625" style="81"/>
  </cols>
  <sheetData>
    <row r="2" spans="1:13" ht="17.25" customHeight="1" x14ac:dyDescent="0.25">
      <c r="B2" s="452" t="s">
        <v>0</v>
      </c>
      <c r="C2" s="452"/>
      <c r="D2" s="452"/>
      <c r="E2" s="5" t="s">
        <v>486</v>
      </c>
      <c r="F2" s="5"/>
      <c r="G2" s="175"/>
      <c r="H2" s="175"/>
    </row>
    <row r="3" spans="1:13" ht="17.25" customHeight="1" x14ac:dyDescent="0.25">
      <c r="B3" s="445" t="s">
        <v>480</v>
      </c>
      <c r="C3" s="445"/>
      <c r="D3" s="445"/>
      <c r="E3" s="5" t="s">
        <v>631</v>
      </c>
      <c r="F3" s="5"/>
      <c r="G3" s="175"/>
      <c r="H3" s="175"/>
    </row>
    <row r="4" spans="1:13" ht="23.25" customHeight="1" x14ac:dyDescent="0.25">
      <c r="B4" s="453" t="s">
        <v>481</v>
      </c>
      <c r="C4" s="453"/>
      <c r="D4" s="453"/>
      <c r="E4" s="6" t="s">
        <v>673</v>
      </c>
      <c r="F4" s="6"/>
      <c r="G4" s="175"/>
      <c r="H4" s="175"/>
    </row>
    <row r="5" spans="1:13" ht="23.25" customHeight="1" x14ac:dyDescent="0.25">
      <c r="B5" s="453"/>
      <c r="C5" s="453"/>
      <c r="D5" s="6"/>
      <c r="E5" s="6"/>
      <c r="F5" s="175"/>
      <c r="G5" s="175"/>
      <c r="H5" s="175"/>
    </row>
    <row r="6" spans="1:13" ht="21" customHeight="1" x14ac:dyDescent="0.25">
      <c r="B6" s="313"/>
      <c r="C6" s="313"/>
      <c r="D6" s="7"/>
      <c r="E6" s="7"/>
      <c r="F6" s="449"/>
      <c r="G6" s="449"/>
      <c r="H6" s="449"/>
    </row>
    <row r="7" spans="1:13" ht="21" customHeight="1" thickBot="1" x14ac:dyDescent="0.3">
      <c r="B7" s="313"/>
      <c r="C7" s="313"/>
      <c r="D7" s="7"/>
      <c r="E7" s="7"/>
      <c r="F7" s="449"/>
      <c r="G7" s="449"/>
      <c r="H7" s="449"/>
    </row>
    <row r="8" spans="1:13" s="83" customFormat="1" ht="23.25" customHeight="1" x14ac:dyDescent="0.25">
      <c r="A8" s="435" t="s">
        <v>2</v>
      </c>
      <c r="B8" s="437" t="s">
        <v>3</v>
      </c>
      <c r="C8" s="437" t="s">
        <v>4</v>
      </c>
      <c r="D8" s="202" t="s">
        <v>5</v>
      </c>
      <c r="E8" s="441" t="s">
        <v>475</v>
      </c>
      <c r="F8" s="441"/>
      <c r="G8" s="441"/>
      <c r="H8" s="454" t="s">
        <v>6</v>
      </c>
      <c r="I8" s="272"/>
      <c r="J8" s="272"/>
    </row>
    <row r="9" spans="1:13" s="83" customFormat="1" ht="23.25" customHeight="1" x14ac:dyDescent="0.25">
      <c r="A9" s="436"/>
      <c r="B9" s="438"/>
      <c r="C9" s="438"/>
      <c r="D9" s="203" t="s">
        <v>632</v>
      </c>
      <c r="E9" s="251" t="s">
        <v>476</v>
      </c>
      <c r="F9" s="251" t="s">
        <v>477</v>
      </c>
      <c r="G9" s="251" t="s">
        <v>478</v>
      </c>
      <c r="H9" s="455"/>
      <c r="I9" s="272"/>
      <c r="J9" s="272"/>
    </row>
    <row r="10" spans="1:13" ht="15.75" customHeight="1" x14ac:dyDescent="0.25">
      <c r="A10" s="11">
        <v>1</v>
      </c>
      <c r="B10" s="12">
        <v>2</v>
      </c>
      <c r="C10" s="13">
        <v>3</v>
      </c>
      <c r="D10" s="14">
        <v>4</v>
      </c>
      <c r="E10" s="14">
        <v>5</v>
      </c>
      <c r="F10" s="14">
        <v>6</v>
      </c>
      <c r="G10" s="15" t="s">
        <v>582</v>
      </c>
      <c r="H10" s="235" t="s">
        <v>583</v>
      </c>
      <c r="I10" s="329"/>
      <c r="J10" s="329"/>
    </row>
    <row r="11" spans="1:13" ht="20.25" customHeight="1" x14ac:dyDescent="0.25">
      <c r="A11" s="318"/>
      <c r="B11" s="199" t="s">
        <v>473</v>
      </c>
      <c r="C11" s="200" t="s">
        <v>9</v>
      </c>
      <c r="D11" s="275">
        <f>D36</f>
        <v>1277356744453.6699</v>
      </c>
      <c r="E11" s="275">
        <f t="shared" ref="E11:G11" si="0">E36</f>
        <v>369924288013.81</v>
      </c>
      <c r="F11" s="275">
        <f t="shared" si="0"/>
        <v>77323496466.98999</v>
      </c>
      <c r="G11" s="275">
        <f t="shared" si="0"/>
        <v>447247784480.79999</v>
      </c>
      <c r="H11" s="276">
        <f>G11/D11</f>
        <v>0.35013537637215786</v>
      </c>
      <c r="I11" s="336"/>
      <c r="J11" s="336"/>
      <c r="K11" s="336"/>
    </row>
    <row r="12" spans="1:13" ht="20.25" customHeight="1" x14ac:dyDescent="0.25">
      <c r="A12" s="149" t="s">
        <v>426</v>
      </c>
      <c r="B12" s="150" t="s">
        <v>11</v>
      </c>
      <c r="C12" s="151" t="s">
        <v>443</v>
      </c>
      <c r="D12" s="152">
        <f>SUM(D13+D14+D18+D19)</f>
        <v>392981073389.67004</v>
      </c>
      <c r="E12" s="152">
        <f t="shared" ref="E12:G12" si="1">SUM(E13+E14+E18+E19)</f>
        <v>132188694319.81</v>
      </c>
      <c r="F12" s="152">
        <f t="shared" si="1"/>
        <v>24539149439.989998</v>
      </c>
      <c r="G12" s="152">
        <f t="shared" si="1"/>
        <v>156727843759.79999</v>
      </c>
      <c r="H12" s="243">
        <f>G12/D12</f>
        <v>0.39881779142170709</v>
      </c>
      <c r="I12" s="329"/>
      <c r="J12" s="329"/>
      <c r="K12" s="329"/>
    </row>
    <row r="13" spans="1:13" ht="20.25" customHeight="1" x14ac:dyDescent="0.25">
      <c r="A13" s="319" t="s">
        <v>19</v>
      </c>
      <c r="B13" s="256" t="s">
        <v>345</v>
      </c>
      <c r="C13" s="265" t="s">
        <v>264</v>
      </c>
      <c r="D13" s="258">
        <v>197002700000</v>
      </c>
      <c r="E13" s="258">
        <f>'Rkp April'!G13</f>
        <v>34477211429.360001</v>
      </c>
      <c r="F13" s="258">
        <f>'Realisasi Mei'!F13</f>
        <v>12168363946</v>
      </c>
      <c r="G13" s="258">
        <f>E13+F13</f>
        <v>46645575375.360001</v>
      </c>
      <c r="H13" s="259">
        <f t="shared" ref="H13:H35" si="2">G13/D13</f>
        <v>0.2367763252755419</v>
      </c>
      <c r="I13" s="329"/>
      <c r="J13" s="295"/>
      <c r="M13" s="90"/>
    </row>
    <row r="14" spans="1:13" ht="20.25" customHeight="1" x14ac:dyDescent="0.25">
      <c r="A14" s="320" t="s">
        <v>39</v>
      </c>
      <c r="B14" s="266" t="s">
        <v>346</v>
      </c>
      <c r="C14" s="267" t="s">
        <v>265</v>
      </c>
      <c r="D14" s="268">
        <f>SUM(D15:D17)</f>
        <v>47985440000</v>
      </c>
      <c r="E14" s="268">
        <f t="shared" ref="E14:G14" si="3">SUM(E15:E17)</f>
        <v>8177905200</v>
      </c>
      <c r="F14" s="268">
        <f t="shared" si="3"/>
        <v>1969017988.25</v>
      </c>
      <c r="G14" s="268">
        <f t="shared" si="3"/>
        <v>10146923188.25</v>
      </c>
      <c r="H14" s="269">
        <f t="shared" si="2"/>
        <v>0.21145837546243193</v>
      </c>
      <c r="I14" s="329"/>
      <c r="J14" s="329"/>
      <c r="M14" s="90"/>
    </row>
    <row r="15" spans="1:13" ht="20.25" customHeight="1" x14ac:dyDescent="0.25">
      <c r="A15" s="321"/>
      <c r="B15" s="86" t="s">
        <v>288</v>
      </c>
      <c r="C15" s="87" t="s">
        <v>55</v>
      </c>
      <c r="D15" s="88">
        <v>4579475000</v>
      </c>
      <c r="E15" s="88">
        <f>'Rkp April'!G15</f>
        <v>636483350</v>
      </c>
      <c r="F15" s="88">
        <f>'Realisasi Mei'!F30+'Realisasi Mei'!F55+'Realisasi Mei'!F60+'Realisasi Mei'!F94</f>
        <v>106997800</v>
      </c>
      <c r="G15" s="88">
        <f>E15+F15</f>
        <v>743481150</v>
      </c>
      <c r="H15" s="245">
        <f t="shared" si="2"/>
        <v>0.1623507388947423</v>
      </c>
      <c r="I15" s="329"/>
      <c r="J15" s="329"/>
      <c r="M15" s="90"/>
    </row>
    <row r="16" spans="1:13" ht="20.25" customHeight="1" x14ac:dyDescent="0.25">
      <c r="A16" s="321"/>
      <c r="B16" s="86" t="s">
        <v>285</v>
      </c>
      <c r="C16" s="87" t="s">
        <v>444</v>
      </c>
      <c r="D16" s="88">
        <v>28403965000</v>
      </c>
      <c r="E16" s="88">
        <f>'Rkp April'!G16</f>
        <v>7541421850</v>
      </c>
      <c r="F16" s="88">
        <f>'Realisasi Mei'!F41+'Realisasi Mei'!F50+'Realisasi Mei'!F65+'Realisasi Mei'!F77+'Realisasi Mei'!F89</f>
        <v>1248182250</v>
      </c>
      <c r="G16" s="88">
        <f t="shared" ref="G16:G19" si="4">E16+F16</f>
        <v>8789604100</v>
      </c>
      <c r="H16" s="245">
        <f t="shared" si="2"/>
        <v>0.30944989898417352</v>
      </c>
      <c r="I16" s="329"/>
      <c r="J16" s="329"/>
      <c r="M16" s="90"/>
    </row>
    <row r="17" spans="1:13" ht="20.25" customHeight="1" x14ac:dyDescent="0.25">
      <c r="A17" s="321"/>
      <c r="B17" s="86" t="s">
        <v>298</v>
      </c>
      <c r="C17" s="87" t="s">
        <v>60</v>
      </c>
      <c r="D17" s="88">
        <v>15002000000</v>
      </c>
      <c r="E17" s="88">
        <f>'Rkp April'!G17</f>
        <v>0</v>
      </c>
      <c r="F17" s="88">
        <f>'Realisasi Mei'!F47</f>
        <v>613837938.25</v>
      </c>
      <c r="G17" s="88">
        <f t="shared" si="4"/>
        <v>613837938.25</v>
      </c>
      <c r="H17" s="245">
        <f t="shared" si="2"/>
        <v>4.0917073606852421E-2</v>
      </c>
      <c r="I17" s="329"/>
      <c r="J17" s="329"/>
      <c r="M17" s="90"/>
    </row>
    <row r="18" spans="1:13" ht="31.5" customHeight="1" x14ac:dyDescent="0.25">
      <c r="A18" s="320" t="s">
        <v>46</v>
      </c>
      <c r="B18" s="256" t="s">
        <v>347</v>
      </c>
      <c r="C18" s="257" t="s">
        <v>266</v>
      </c>
      <c r="D18" s="258">
        <v>1663748323.6700001</v>
      </c>
      <c r="E18" s="260">
        <f>'Rkp April'!G18</f>
        <v>1079761191</v>
      </c>
      <c r="F18" s="258">
        <f>'Realisasi Mei'!F98</f>
        <v>0</v>
      </c>
      <c r="G18" s="260">
        <f t="shared" si="4"/>
        <v>1079761191</v>
      </c>
      <c r="H18" s="259">
        <f t="shared" si="2"/>
        <v>0.64899310529022514</v>
      </c>
      <c r="I18" s="330"/>
      <c r="J18" s="329"/>
      <c r="M18" s="90"/>
    </row>
    <row r="19" spans="1:13" ht="20.25" customHeight="1" x14ac:dyDescent="0.25">
      <c r="A19" s="322" t="s">
        <v>8</v>
      </c>
      <c r="B19" s="266" t="s">
        <v>348</v>
      </c>
      <c r="C19" s="267" t="s">
        <v>96</v>
      </c>
      <c r="D19" s="268">
        <v>146329185066</v>
      </c>
      <c r="E19" s="260">
        <f>'Rkp April'!G19</f>
        <v>88453816499.449997</v>
      </c>
      <c r="F19" s="268">
        <f>'Realisasi Mei'!F104</f>
        <v>10401767505.74</v>
      </c>
      <c r="G19" s="260">
        <f t="shared" si="4"/>
        <v>98855584005.190002</v>
      </c>
      <c r="H19" s="269">
        <f t="shared" si="2"/>
        <v>0.67556983906253831</v>
      </c>
      <c r="I19" s="329"/>
      <c r="J19" s="329"/>
      <c r="M19" s="90"/>
    </row>
    <row r="20" spans="1:13" ht="20.25" customHeight="1" x14ac:dyDescent="0.25">
      <c r="A20" s="149" t="s">
        <v>163</v>
      </c>
      <c r="B20" s="150" t="s">
        <v>164</v>
      </c>
      <c r="C20" s="151" t="s">
        <v>268</v>
      </c>
      <c r="D20" s="155">
        <f>SUM(D21+D28)</f>
        <v>884375671064</v>
      </c>
      <c r="E20" s="155">
        <f t="shared" ref="E20:G20" si="5">SUM(E21+E28)</f>
        <v>237735593694</v>
      </c>
      <c r="F20" s="155">
        <f>SUM(F21+F28)</f>
        <v>52784347027</v>
      </c>
      <c r="G20" s="155">
        <f t="shared" si="5"/>
        <v>290519940721</v>
      </c>
      <c r="H20" s="243">
        <f t="shared" si="2"/>
        <v>0.32850286391469019</v>
      </c>
      <c r="I20" s="329"/>
      <c r="J20" s="329"/>
    </row>
    <row r="21" spans="1:13" ht="20.25" customHeight="1" x14ac:dyDescent="0.25">
      <c r="A21" s="156" t="s">
        <v>416</v>
      </c>
      <c r="B21" s="157" t="s">
        <v>350</v>
      </c>
      <c r="C21" s="158" t="s">
        <v>351</v>
      </c>
      <c r="D21" s="159">
        <f>SUM(D22+D27)</f>
        <v>768680341983</v>
      </c>
      <c r="E21" s="159">
        <f t="shared" ref="E21:G21" si="6">SUM(E22+E27)</f>
        <v>209142915238</v>
      </c>
      <c r="F21" s="159">
        <f t="shared" si="6"/>
        <v>43772294960</v>
      </c>
      <c r="G21" s="159">
        <f t="shared" si="6"/>
        <v>252915210198</v>
      </c>
      <c r="H21" s="246">
        <f t="shared" si="2"/>
        <v>0.32902520902972882</v>
      </c>
    </row>
    <row r="22" spans="1:13" ht="20.25" customHeight="1" x14ac:dyDescent="0.25">
      <c r="A22" s="160" t="s">
        <v>89</v>
      </c>
      <c r="B22" s="161" t="s">
        <v>352</v>
      </c>
      <c r="C22" s="162" t="s">
        <v>435</v>
      </c>
      <c r="D22" s="163">
        <f>SUM(D23:D26)</f>
        <v>768680341983</v>
      </c>
      <c r="E22" s="163">
        <f t="shared" ref="E22:G22" si="7">SUM(E23:E26)</f>
        <v>209142915238</v>
      </c>
      <c r="F22" s="163">
        <f>SUM(F23:F26)</f>
        <v>43772294960</v>
      </c>
      <c r="G22" s="163">
        <f t="shared" si="7"/>
        <v>252915210198</v>
      </c>
      <c r="H22" s="247">
        <f t="shared" si="2"/>
        <v>0.32902520902972882</v>
      </c>
    </row>
    <row r="23" spans="1:13" ht="20.25" customHeight="1" x14ac:dyDescent="0.25">
      <c r="A23" s="323" t="s">
        <v>13</v>
      </c>
      <c r="B23" s="147" t="s">
        <v>353</v>
      </c>
      <c r="C23" s="148" t="s">
        <v>354</v>
      </c>
      <c r="D23" s="173">
        <v>154499794000</v>
      </c>
      <c r="E23" s="173">
        <f>'Rkp April'!G23</f>
        <v>30916259100</v>
      </c>
      <c r="F23" s="173">
        <f>'Realisasi Mei'!F231</f>
        <v>22670716000</v>
      </c>
      <c r="G23" s="173">
        <f>E23+F23</f>
        <v>53586975100</v>
      </c>
      <c r="H23" s="244">
        <f t="shared" si="2"/>
        <v>0.34684172523880519</v>
      </c>
    </row>
    <row r="24" spans="1:13" ht="20.25" customHeight="1" x14ac:dyDescent="0.25">
      <c r="A24" s="85" t="s">
        <v>16</v>
      </c>
      <c r="B24" s="86" t="s">
        <v>368</v>
      </c>
      <c r="C24" s="87" t="s">
        <v>436</v>
      </c>
      <c r="D24" s="88">
        <v>429554051000</v>
      </c>
      <c r="E24" s="173">
        <f>'Rkp April'!G24</f>
        <v>177169056138</v>
      </c>
      <c r="F24" s="88">
        <f>'Realisasi Mei'!F296</f>
        <v>0</v>
      </c>
      <c r="G24" s="173">
        <f t="shared" ref="G24:G26" si="8">E24+F24</f>
        <v>177169056138</v>
      </c>
      <c r="H24" s="248">
        <f t="shared" si="2"/>
        <v>0.41244880760768332</v>
      </c>
    </row>
    <row r="25" spans="1:13" ht="20.25" customHeight="1" x14ac:dyDescent="0.25">
      <c r="A25" s="85" t="s">
        <v>86</v>
      </c>
      <c r="B25" s="86" t="s">
        <v>370</v>
      </c>
      <c r="C25" s="87" t="s">
        <v>437</v>
      </c>
      <c r="D25" s="88">
        <v>62721068973</v>
      </c>
      <c r="E25" s="173">
        <f>'Rkp April'!G25</f>
        <v>0</v>
      </c>
      <c r="F25" s="88">
        <f>'Realisasi Mei'!F298</f>
        <v>4124379500</v>
      </c>
      <c r="G25" s="173">
        <f t="shared" si="8"/>
        <v>4124379500</v>
      </c>
      <c r="H25" s="248">
        <f t="shared" si="2"/>
        <v>6.575748097940505E-2</v>
      </c>
    </row>
    <row r="26" spans="1:13" ht="20.25" customHeight="1" x14ac:dyDescent="0.25">
      <c r="A26" s="91" t="s">
        <v>95</v>
      </c>
      <c r="B26" s="153" t="s">
        <v>384</v>
      </c>
      <c r="C26" s="154" t="s">
        <v>438</v>
      </c>
      <c r="D26" s="174">
        <v>121905428010</v>
      </c>
      <c r="E26" s="173">
        <f>'Rkp April'!G26</f>
        <v>1057600000</v>
      </c>
      <c r="F26" s="174">
        <f>'Realisasi Mei'!F367</f>
        <v>16977199460</v>
      </c>
      <c r="G26" s="173">
        <f t="shared" si="8"/>
        <v>18034799460</v>
      </c>
      <c r="H26" s="245">
        <f t="shared" si="2"/>
        <v>0.14794090594982032</v>
      </c>
    </row>
    <row r="27" spans="1:13" ht="20.25" customHeight="1" x14ac:dyDescent="0.25">
      <c r="A27" s="160" t="s">
        <v>91</v>
      </c>
      <c r="B27" s="161" t="s">
        <v>396</v>
      </c>
      <c r="C27" s="162" t="s">
        <v>439</v>
      </c>
      <c r="D27" s="163">
        <v>0</v>
      </c>
      <c r="E27" s="163">
        <f>'Rkp April'!G27</f>
        <v>0</v>
      </c>
      <c r="F27" s="163">
        <f>'Realisasi Januari'!F408</f>
        <v>0</v>
      </c>
      <c r="G27" s="163">
        <f>E27+F27</f>
        <v>0</v>
      </c>
      <c r="H27" s="247" t="e">
        <f t="shared" si="2"/>
        <v>#DIV/0!</v>
      </c>
    </row>
    <row r="28" spans="1:13" ht="20.25" customHeight="1" x14ac:dyDescent="0.25">
      <c r="A28" s="156" t="s">
        <v>440</v>
      </c>
      <c r="B28" s="157" t="s">
        <v>398</v>
      </c>
      <c r="C28" s="158" t="s">
        <v>399</v>
      </c>
      <c r="D28" s="159">
        <f>SUM(D29:D30)</f>
        <v>115695329081</v>
      </c>
      <c r="E28" s="159">
        <f t="shared" ref="E28:F28" si="9">SUM(E29:E30)</f>
        <v>28592678456</v>
      </c>
      <c r="F28" s="159">
        <f t="shared" si="9"/>
        <v>9012052067</v>
      </c>
      <c r="G28" s="159">
        <f>E28+F28</f>
        <v>37604730523</v>
      </c>
      <c r="H28" s="246">
        <f t="shared" si="2"/>
        <v>0.32503240037177628</v>
      </c>
    </row>
    <row r="29" spans="1:13" ht="20.25" customHeight="1" x14ac:dyDescent="0.25">
      <c r="A29" s="323" t="s">
        <v>89</v>
      </c>
      <c r="B29" s="147" t="s">
        <v>400</v>
      </c>
      <c r="C29" s="148" t="s">
        <v>403</v>
      </c>
      <c r="D29" s="173">
        <v>105229329081</v>
      </c>
      <c r="E29" s="173">
        <f>'Rkp April'!G29</f>
        <v>25508678456</v>
      </c>
      <c r="F29" s="173">
        <f>'Realisasi Mei'!F419</f>
        <v>9012052067</v>
      </c>
      <c r="G29" s="173">
        <f>E29+F29</f>
        <v>34520730523</v>
      </c>
      <c r="H29" s="244">
        <f t="shared" si="2"/>
        <v>0.32805236738160476</v>
      </c>
    </row>
    <row r="30" spans="1:13" ht="20.25" customHeight="1" x14ac:dyDescent="0.25">
      <c r="A30" s="91" t="s">
        <v>91</v>
      </c>
      <c r="B30" s="153" t="s">
        <v>425</v>
      </c>
      <c r="C30" s="154" t="s">
        <v>427</v>
      </c>
      <c r="D30" s="174">
        <v>10466000000</v>
      </c>
      <c r="E30" s="173">
        <f>'Rkp April'!G30</f>
        <v>3084000000</v>
      </c>
      <c r="F30" s="174">
        <f>'Realisasi Januari'!F429</f>
        <v>0</v>
      </c>
      <c r="G30" s="173">
        <f>E30+F30</f>
        <v>3084000000</v>
      </c>
      <c r="H30" s="244">
        <f t="shared" si="2"/>
        <v>0.29466845021975924</v>
      </c>
    </row>
    <row r="31" spans="1:13" ht="20.25" customHeight="1" x14ac:dyDescent="0.25">
      <c r="A31" s="149" t="s">
        <v>241</v>
      </c>
      <c r="B31" s="150" t="s">
        <v>242</v>
      </c>
      <c r="C31" s="151" t="s">
        <v>243</v>
      </c>
      <c r="D31" s="155">
        <f t="shared" ref="D31:G33" si="10">D32</f>
        <v>0</v>
      </c>
      <c r="E31" s="155">
        <f t="shared" si="10"/>
        <v>0</v>
      </c>
      <c r="F31" s="155">
        <f t="shared" si="10"/>
        <v>0</v>
      </c>
      <c r="G31" s="155">
        <f t="shared" si="10"/>
        <v>0</v>
      </c>
      <c r="H31" s="243" t="e">
        <f t="shared" si="2"/>
        <v>#DIV/0!</v>
      </c>
    </row>
    <row r="32" spans="1:13" ht="34.5" customHeight="1" x14ac:dyDescent="0.25">
      <c r="A32" s="84"/>
      <c r="B32" s="147" t="s">
        <v>418</v>
      </c>
      <c r="C32" s="250" t="s">
        <v>441</v>
      </c>
      <c r="D32" s="258">
        <f>D33</f>
        <v>0</v>
      </c>
      <c r="E32" s="173"/>
      <c r="F32" s="173">
        <f>F33</f>
        <v>0</v>
      </c>
      <c r="G32" s="173">
        <f>E32+F32</f>
        <v>0</v>
      </c>
      <c r="H32" s="259" t="e">
        <f t="shared" si="2"/>
        <v>#DIV/0!</v>
      </c>
    </row>
    <row r="33" spans="1:10" ht="20.25" customHeight="1" x14ac:dyDescent="0.25">
      <c r="A33" s="85"/>
      <c r="B33" s="86" t="s">
        <v>420</v>
      </c>
      <c r="C33" s="87" t="s">
        <v>442</v>
      </c>
      <c r="D33" s="260">
        <f t="shared" si="10"/>
        <v>0</v>
      </c>
      <c r="E33" s="173"/>
      <c r="F33" s="88">
        <f t="shared" si="10"/>
        <v>0</v>
      </c>
      <c r="G33" s="173">
        <f t="shared" ref="G33" si="11">E33+F33</f>
        <v>0</v>
      </c>
      <c r="H33" s="261" t="e">
        <f t="shared" si="2"/>
        <v>#DIV/0!</v>
      </c>
    </row>
    <row r="34" spans="1:10" ht="20.25" customHeight="1" x14ac:dyDescent="0.25">
      <c r="A34" s="91" t="s">
        <v>89</v>
      </c>
      <c r="B34" s="86" t="s">
        <v>422</v>
      </c>
      <c r="C34" s="87" t="s">
        <v>423</v>
      </c>
      <c r="D34" s="164">
        <v>0</v>
      </c>
      <c r="E34" s="173">
        <f>'Rkp April'!G34</f>
        <v>0</v>
      </c>
      <c r="F34" s="174">
        <f>'Realisasi Januari'!F439</f>
        <v>0</v>
      </c>
      <c r="G34" s="173">
        <f>F34</f>
        <v>0</v>
      </c>
      <c r="H34" s="248" t="e">
        <f t="shared" si="2"/>
        <v>#DIV/0!</v>
      </c>
    </row>
    <row r="35" spans="1:10" ht="20.25" customHeight="1" thickBot="1" x14ac:dyDescent="0.3">
      <c r="A35" s="91" t="s">
        <v>91</v>
      </c>
      <c r="B35" s="86" t="s">
        <v>618</v>
      </c>
      <c r="C35" s="87" t="s">
        <v>620</v>
      </c>
      <c r="D35" s="164">
        <v>0</v>
      </c>
      <c r="E35" s="173">
        <f>'Rkp April'!G35</f>
        <v>0</v>
      </c>
      <c r="F35" s="174"/>
      <c r="G35" s="173">
        <f>F35</f>
        <v>0</v>
      </c>
      <c r="H35" s="286" t="e">
        <f t="shared" si="2"/>
        <v>#DIV/0!</v>
      </c>
    </row>
    <row r="36" spans="1:10" s="82" customFormat="1" ht="21.75" customHeight="1" thickBot="1" x14ac:dyDescent="0.3">
      <c r="A36" s="143"/>
      <c r="B36" s="144"/>
      <c r="C36" s="145" t="s">
        <v>472</v>
      </c>
      <c r="D36" s="146">
        <f>SUM(D12+D20+D31)</f>
        <v>1277356744453.6699</v>
      </c>
      <c r="E36" s="146">
        <f t="shared" ref="E36:G36" si="12">SUM(E12+E20+E31)</f>
        <v>369924288013.81</v>
      </c>
      <c r="F36" s="146">
        <f t="shared" si="12"/>
        <v>77323496466.98999</v>
      </c>
      <c r="G36" s="146">
        <f t="shared" si="12"/>
        <v>447247784480.79999</v>
      </c>
      <c r="H36" s="249">
        <f>G36/D36</f>
        <v>0.35013537637215786</v>
      </c>
      <c r="I36" s="274"/>
      <c r="J36" s="274"/>
    </row>
    <row r="37" spans="1:10" ht="20.25" hidden="1" customHeight="1" x14ac:dyDescent="0.25">
      <c r="A37" s="92" t="s">
        <v>95</v>
      </c>
      <c r="B37" s="93" t="s">
        <v>46</v>
      </c>
      <c r="C37" s="94" t="s">
        <v>251</v>
      </c>
      <c r="D37" s="95">
        <v>102132456348.7</v>
      </c>
      <c r="E37" s="173"/>
      <c r="F37" s="88" t="e">
        <f>D37-#REF!</f>
        <v>#REF!</v>
      </c>
      <c r="G37" s="173"/>
      <c r="H37" s="96" t="e">
        <f>SUM(F37/#REF!)</f>
        <v>#REF!</v>
      </c>
    </row>
    <row r="38" spans="1:10" ht="20.25" hidden="1" customHeight="1" x14ac:dyDescent="0.25">
      <c r="A38" s="85"/>
      <c r="B38" s="97" t="s">
        <v>252</v>
      </c>
      <c r="C38" s="98" t="s">
        <v>253</v>
      </c>
      <c r="D38" s="88">
        <v>102132456348.7</v>
      </c>
      <c r="E38" s="88"/>
      <c r="F38" s="88" t="e">
        <f>D38-#REF!</f>
        <v>#REF!</v>
      </c>
      <c r="G38" s="88"/>
      <c r="H38" s="89" t="e">
        <f>SUM(F38/#REF!)</f>
        <v>#REF!</v>
      </c>
    </row>
    <row r="39" spans="1:10" ht="20.25" hidden="1" customHeight="1" x14ac:dyDescent="0.25">
      <c r="A39" s="85"/>
      <c r="B39" s="99" t="s">
        <v>254</v>
      </c>
      <c r="C39" s="100" t="s">
        <v>255</v>
      </c>
      <c r="D39" s="88">
        <v>95076456348.699997</v>
      </c>
      <c r="E39" s="88"/>
      <c r="F39" s="88" t="e">
        <f>D39-#REF!</f>
        <v>#REF!</v>
      </c>
      <c r="G39" s="88"/>
      <c r="H39" s="89" t="e">
        <f>SUM(F39/#REF!)</f>
        <v>#REF!</v>
      </c>
    </row>
    <row r="40" spans="1:10" ht="20.25" hidden="1" customHeight="1" x14ac:dyDescent="0.25">
      <c r="A40" s="85"/>
      <c r="B40" s="99" t="s">
        <v>256</v>
      </c>
      <c r="C40" s="100" t="s">
        <v>257</v>
      </c>
      <c r="D40" s="88">
        <v>7056000000</v>
      </c>
      <c r="E40" s="88"/>
      <c r="F40" s="88" t="e">
        <f>D40-#REF!</f>
        <v>#REF!</v>
      </c>
      <c r="G40" s="88"/>
      <c r="H40" s="89">
        <v>1</v>
      </c>
    </row>
    <row r="41" spans="1:10" ht="20.25" hidden="1" customHeight="1" x14ac:dyDescent="0.25">
      <c r="A41" s="101"/>
      <c r="B41" s="102" t="s">
        <v>258</v>
      </c>
      <c r="C41" s="103" t="s">
        <v>259</v>
      </c>
      <c r="D41" s="104">
        <v>7056000000</v>
      </c>
      <c r="E41" s="174"/>
      <c r="F41" s="88" t="e">
        <f>D41-#REF!</f>
        <v>#REF!</v>
      </c>
      <c r="G41" s="174"/>
      <c r="H41" s="105">
        <v>1</v>
      </c>
    </row>
    <row r="42" spans="1:10" ht="26.25" hidden="1" customHeight="1" x14ac:dyDescent="0.25">
      <c r="A42" s="450" t="s">
        <v>263</v>
      </c>
      <c r="B42" s="451"/>
      <c r="C42" s="451"/>
      <c r="D42" s="106">
        <f>SUM(D37+D36)</f>
        <v>1379489200802.3699</v>
      </c>
      <c r="E42" s="106"/>
      <c r="F42" s="106" t="e">
        <f>SUM(F37+F36)</f>
        <v>#REF!</v>
      </c>
      <c r="G42" s="106"/>
      <c r="H42" s="107" t="e">
        <f>SUM(F42/#REF!)</f>
        <v>#REF!</v>
      </c>
    </row>
    <row r="43" spans="1:10" ht="26.25" customHeight="1" x14ac:dyDescent="0.25">
      <c r="A43" s="108"/>
      <c r="B43" s="198"/>
      <c r="C43" s="197"/>
      <c r="D43" s="110"/>
      <c r="E43" s="110"/>
      <c r="F43" s="110"/>
      <c r="G43" s="110"/>
      <c r="H43" s="111"/>
    </row>
    <row r="44" spans="1:10" ht="21" customHeight="1" x14ac:dyDescent="0.25">
      <c r="A44" s="324"/>
      <c r="B44" s="313"/>
      <c r="C44" s="109"/>
      <c r="D44" s="112"/>
      <c r="E44" s="112"/>
      <c r="F44" s="291"/>
      <c r="G44" s="291" t="s">
        <v>683</v>
      </c>
      <c r="H44" s="113"/>
    </row>
    <row r="45" spans="1:10" ht="18" x14ac:dyDescent="0.25">
      <c r="A45" s="324"/>
      <c r="B45" s="313"/>
      <c r="C45" s="109"/>
      <c r="D45" s="114"/>
      <c r="E45" s="114"/>
      <c r="F45" s="291"/>
      <c r="G45" s="291" t="s">
        <v>630</v>
      </c>
      <c r="H45" s="255"/>
    </row>
    <row r="46" spans="1:10" ht="21" customHeight="1" x14ac:dyDescent="0.25">
      <c r="B46" s="313"/>
      <c r="C46" s="109"/>
      <c r="D46" s="114"/>
      <c r="E46" s="114"/>
      <c r="F46" s="291"/>
      <c r="G46" s="291"/>
      <c r="H46" s="255"/>
    </row>
    <row r="47" spans="1:10" ht="15.75" customHeight="1" x14ac:dyDescent="0.25">
      <c r="B47" s="313"/>
      <c r="C47" s="109"/>
      <c r="D47" s="116"/>
      <c r="E47" s="116"/>
      <c r="F47" s="291"/>
      <c r="G47" s="291"/>
      <c r="H47" s="117"/>
    </row>
    <row r="48" spans="1:10" ht="15.75" customHeight="1" x14ac:dyDescent="0.25">
      <c r="B48" s="313"/>
      <c r="C48" s="109"/>
      <c r="D48" s="116"/>
      <c r="E48" s="116"/>
      <c r="F48" s="291"/>
      <c r="G48" s="291"/>
      <c r="H48" s="117"/>
    </row>
    <row r="49" spans="2:8" ht="15.75" customHeight="1" x14ac:dyDescent="0.25">
      <c r="B49" s="313"/>
      <c r="C49" s="109" t="s">
        <v>267</v>
      </c>
      <c r="D49" s="116"/>
      <c r="E49" s="116"/>
      <c r="F49" s="292"/>
      <c r="G49" s="292" t="s">
        <v>579</v>
      </c>
      <c r="H49" s="117"/>
    </row>
    <row r="50" spans="2:8" ht="15.75" customHeight="1" x14ac:dyDescent="0.25">
      <c r="B50" s="313"/>
      <c r="C50" s="109"/>
      <c r="D50" s="116"/>
      <c r="E50" s="116"/>
      <c r="F50" s="291"/>
      <c r="G50" s="291" t="s">
        <v>577</v>
      </c>
      <c r="H50" s="117"/>
    </row>
    <row r="51" spans="2:8" ht="22.5" customHeight="1" x14ac:dyDescent="0.25">
      <c r="C51" s="118"/>
      <c r="D51" s="119"/>
      <c r="E51" s="119"/>
      <c r="F51" s="291"/>
      <c r="G51" s="291" t="s">
        <v>576</v>
      </c>
      <c r="H51" s="120"/>
    </row>
    <row r="52" spans="2:8" ht="20.25" customHeight="1" x14ac:dyDescent="0.25">
      <c r="C52" s="118"/>
      <c r="D52" s="112"/>
      <c r="E52" s="112"/>
      <c r="F52" s="115"/>
      <c r="G52" s="115"/>
      <c r="H52" s="113"/>
    </row>
    <row r="53" spans="2:8" ht="13.15" customHeight="1" x14ac:dyDescent="0.25">
      <c r="C53" s="118"/>
      <c r="D53" s="112"/>
      <c r="E53" s="112"/>
      <c r="H53" s="113"/>
    </row>
    <row r="54" spans="2:8" ht="13.15" customHeight="1" x14ac:dyDescent="0.25">
      <c r="C54" s="118"/>
      <c r="D54" s="112"/>
      <c r="E54" s="112"/>
      <c r="F54" s="113"/>
      <c r="G54" s="113"/>
      <c r="H54" s="113"/>
    </row>
    <row r="55" spans="2:8" ht="13.15" customHeight="1" x14ac:dyDescent="0.25">
      <c r="C55" s="118"/>
      <c r="D55" s="112"/>
      <c r="E55" s="112"/>
      <c r="F55" s="113"/>
      <c r="G55" s="113"/>
      <c r="H55" s="113"/>
    </row>
    <row r="56" spans="2:8" ht="13.15" customHeight="1" x14ac:dyDescent="0.25">
      <c r="C56" s="118"/>
      <c r="D56" s="118"/>
      <c r="E56" s="118"/>
    </row>
    <row r="57" spans="2:8" ht="13.15" customHeight="1" x14ac:dyDescent="0.25">
      <c r="C57" s="118"/>
      <c r="D57" s="118"/>
      <c r="E57" s="118"/>
    </row>
    <row r="58" spans="2:8" ht="13.15" customHeight="1" x14ac:dyDescent="0.25">
      <c r="C58" s="118"/>
      <c r="D58" s="118"/>
      <c r="E58" s="118"/>
    </row>
    <row r="59" spans="2:8" ht="13.15" customHeight="1" x14ac:dyDescent="0.25">
      <c r="C59" s="118"/>
      <c r="D59" s="118"/>
      <c r="E59" s="118"/>
    </row>
    <row r="60" spans="2:8" ht="13.15" customHeight="1" x14ac:dyDescent="0.25">
      <c r="C60" s="118"/>
      <c r="D60" s="118"/>
      <c r="E60" s="118"/>
    </row>
    <row r="61" spans="2:8" ht="13.15" customHeight="1" x14ac:dyDescent="0.25">
      <c r="C61" s="118"/>
      <c r="D61" s="118"/>
      <c r="E61" s="118"/>
    </row>
    <row r="62" spans="2:8" ht="13.15" customHeight="1" x14ac:dyDescent="0.25">
      <c r="C62" s="118"/>
      <c r="D62" s="118"/>
      <c r="E62" s="118"/>
    </row>
  </sheetData>
  <mergeCells count="12">
    <mergeCell ref="F6:H6"/>
    <mergeCell ref="F7:H7"/>
    <mergeCell ref="A42:C42"/>
    <mergeCell ref="B2:D2"/>
    <mergeCell ref="B3:D3"/>
    <mergeCell ref="B4:D4"/>
    <mergeCell ref="B5:C5"/>
    <mergeCell ref="A8:A9"/>
    <mergeCell ref="B8:B9"/>
    <mergeCell ref="C8:C9"/>
    <mergeCell ref="E8:G8"/>
    <mergeCell ref="H8:H9"/>
  </mergeCells>
  <printOptions horizontalCentered="1"/>
  <pageMargins left="0.6692913385826772" right="1.0236220472440944" top="0.54" bottom="0.27559055118110237" header="0.23622047244094491" footer="0.33"/>
  <pageSetup paperSize="9" scale="6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477"/>
  <sheetViews>
    <sheetView zoomScale="68" zoomScaleNormal="68" workbookViewId="0">
      <pane ySplit="9" topLeftCell="A109" activePane="bottomLeft" state="frozen"/>
      <selection activeCell="I30" sqref="I30"/>
      <selection pane="bottomLeft" activeCell="K131" sqref="K131"/>
    </sheetView>
  </sheetViews>
  <sheetFormatPr defaultColWidth="9.28515625" defaultRowHeight="18" x14ac:dyDescent="0.25"/>
  <cols>
    <col min="1" max="1" width="7" style="4" customWidth="1"/>
    <col min="2" max="2" width="25.140625" style="4" customWidth="1"/>
    <col min="3" max="3" width="82.7109375" style="4" customWidth="1"/>
    <col min="4" max="6" width="28.42578125" style="175" customWidth="1"/>
    <col min="7" max="7" width="30.7109375" style="175" customWidth="1"/>
    <col min="8" max="8" width="16" style="175" customWidth="1"/>
    <col min="9" max="9" width="56.42578125" style="4" hidden="1" customWidth="1"/>
    <col min="10" max="10" width="31" style="175" bestFit="1" customWidth="1"/>
    <col min="11" max="11" width="27" style="4" bestFit="1" customWidth="1"/>
    <col min="12" max="12" width="28.28515625" style="4" bestFit="1" customWidth="1"/>
    <col min="13" max="13" width="26.28515625" style="4" customWidth="1"/>
    <col min="14" max="16384" width="9.28515625" style="4"/>
  </cols>
  <sheetData>
    <row r="1" spans="1:15" x14ac:dyDescent="0.25">
      <c r="A1" s="1"/>
      <c r="B1" s="1"/>
      <c r="C1" s="2"/>
      <c r="I1" s="3"/>
    </row>
    <row r="2" spans="1:15" ht="25.5" x14ac:dyDescent="0.25">
      <c r="A2" s="1"/>
      <c r="B2" s="444" t="s">
        <v>0</v>
      </c>
      <c r="C2" s="444"/>
      <c r="E2" s="5" t="s">
        <v>486</v>
      </c>
      <c r="I2" s="1"/>
      <c r="K2" s="5"/>
    </row>
    <row r="3" spans="1:15" x14ac:dyDescent="0.25">
      <c r="A3" s="1"/>
      <c r="B3" s="445" t="s">
        <v>480</v>
      </c>
      <c r="C3" s="445"/>
      <c r="E3" s="5" t="s">
        <v>631</v>
      </c>
      <c r="K3" s="5"/>
    </row>
    <row r="4" spans="1:15" x14ac:dyDescent="0.25">
      <c r="A4" s="1"/>
      <c r="B4" s="446" t="s">
        <v>481</v>
      </c>
      <c r="C4" s="446"/>
      <c r="E4" s="6" t="s">
        <v>678</v>
      </c>
      <c r="K4" s="6"/>
    </row>
    <row r="5" spans="1:15" ht="19.5" x14ac:dyDescent="0.25">
      <c r="A5" s="1"/>
      <c r="B5" s="447"/>
      <c r="C5" s="447"/>
      <c r="I5" s="1"/>
    </row>
    <row r="6" spans="1:15" ht="18.75" thickBot="1" x14ac:dyDescent="0.3">
      <c r="A6" s="1"/>
      <c r="B6" s="317"/>
      <c r="C6" s="317"/>
      <c r="D6" s="8"/>
      <c r="E6" s="8"/>
      <c r="F6" s="448"/>
      <c r="G6" s="448"/>
      <c r="H6" s="448"/>
      <c r="I6" s="7"/>
    </row>
    <row r="7" spans="1:15" s="10" customFormat="1" ht="29.25" customHeight="1" x14ac:dyDescent="0.25">
      <c r="A7" s="435" t="s">
        <v>2</v>
      </c>
      <c r="B7" s="437" t="s">
        <v>3</v>
      </c>
      <c r="C7" s="437" t="s">
        <v>4</v>
      </c>
      <c r="D7" s="202" t="s">
        <v>5</v>
      </c>
      <c r="E7" s="441" t="s">
        <v>475</v>
      </c>
      <c r="F7" s="441"/>
      <c r="G7" s="441"/>
      <c r="H7" s="439" t="s">
        <v>6</v>
      </c>
      <c r="I7" s="442" t="s">
        <v>7</v>
      </c>
      <c r="J7" s="9"/>
    </row>
    <row r="8" spans="1:15" s="10" customFormat="1" ht="29.25" customHeight="1" thickBot="1" x14ac:dyDescent="0.3">
      <c r="A8" s="436"/>
      <c r="B8" s="438"/>
      <c r="C8" s="438"/>
      <c r="D8" s="203" t="s">
        <v>632</v>
      </c>
      <c r="E8" s="204" t="s">
        <v>476</v>
      </c>
      <c r="F8" s="204" t="s">
        <v>477</v>
      </c>
      <c r="G8" s="204" t="s">
        <v>478</v>
      </c>
      <c r="H8" s="440"/>
      <c r="I8" s="443"/>
      <c r="J8" s="9"/>
    </row>
    <row r="9" spans="1:15" s="16" customFormat="1" ht="14.65" customHeight="1" x14ac:dyDescent="0.25">
      <c r="A9" s="11">
        <v>1</v>
      </c>
      <c r="B9" s="12">
        <v>2</v>
      </c>
      <c r="C9" s="13">
        <v>3</v>
      </c>
      <c r="D9" s="14">
        <v>4</v>
      </c>
      <c r="E9" s="14">
        <v>5</v>
      </c>
      <c r="F9" s="14">
        <v>6</v>
      </c>
      <c r="G9" s="15" t="s">
        <v>582</v>
      </c>
      <c r="H9" s="235" t="s">
        <v>583</v>
      </c>
      <c r="I9" s="205">
        <v>9</v>
      </c>
      <c r="J9" s="7"/>
    </row>
    <row r="10" spans="1:15" x14ac:dyDescent="0.25">
      <c r="A10" s="17"/>
      <c r="B10" s="18"/>
      <c r="C10" s="19"/>
      <c r="D10" s="20"/>
      <c r="E10" s="20"/>
      <c r="F10" s="20"/>
      <c r="G10" s="20"/>
      <c r="H10" s="21"/>
      <c r="I10" s="206"/>
    </row>
    <row r="11" spans="1:15" s="176" customFormat="1" ht="25.5" customHeight="1" x14ac:dyDescent="0.25">
      <c r="A11" s="169"/>
      <c r="B11" s="167" t="s">
        <v>8</v>
      </c>
      <c r="C11" s="185" t="s">
        <v>9</v>
      </c>
      <c r="D11" s="191">
        <f>SUM(D12+D228+D438)</f>
        <v>1277356744453.6699</v>
      </c>
      <c r="E11" s="191">
        <f>SUM(E12+E228+E438)</f>
        <v>447247784480.79999</v>
      </c>
      <c r="F11" s="191">
        <f>SUM(F12+F228+F438)</f>
        <v>193171873314.16</v>
      </c>
      <c r="G11" s="191">
        <f>SUM(G12+G228+G438)</f>
        <v>640419657794.95996</v>
      </c>
      <c r="H11" s="236">
        <f>G11/D11</f>
        <v>0.50136319440570198</v>
      </c>
      <c r="I11" s="207"/>
      <c r="J11" s="3"/>
      <c r="K11" s="3"/>
      <c r="L11" s="3"/>
      <c r="M11" s="3"/>
    </row>
    <row r="12" spans="1:15" s="176" customFormat="1" ht="27.75" customHeight="1" x14ac:dyDescent="0.25">
      <c r="A12" s="126" t="s">
        <v>10</v>
      </c>
      <c r="B12" s="127" t="s">
        <v>11</v>
      </c>
      <c r="C12" s="41" t="s">
        <v>12</v>
      </c>
      <c r="D12" s="42">
        <f>SUM(D13+D14+D98+D104)</f>
        <v>392981073389.67004</v>
      </c>
      <c r="E12" s="42">
        <f>SUM(E13+E14+E98+E104)</f>
        <v>156727843759.79999</v>
      </c>
      <c r="F12" s="42">
        <f t="shared" ref="F12:G12" si="0">SUM(F13+F14+F98+F104)</f>
        <v>87515089204.160004</v>
      </c>
      <c r="G12" s="42">
        <f t="shared" si="0"/>
        <v>244242932963.95999</v>
      </c>
      <c r="H12" s="237">
        <f>G12/D12</f>
        <v>0.62151322163491296</v>
      </c>
      <c r="I12" s="208"/>
      <c r="J12" s="328"/>
      <c r="K12" s="328"/>
      <c r="L12" s="328"/>
    </row>
    <row r="13" spans="1:15" s="176" customFormat="1" ht="25.5" customHeight="1" x14ac:dyDescent="0.25">
      <c r="A13" s="169" t="s">
        <v>13</v>
      </c>
      <c r="B13" s="167" t="s">
        <v>14</v>
      </c>
      <c r="C13" s="185" t="s">
        <v>15</v>
      </c>
      <c r="D13" s="191">
        <f>SUM(D17+D18+D19+D20+D21+D25+D22+D23+D26+D24+D27)</f>
        <v>197002700000</v>
      </c>
      <c r="E13" s="191">
        <f t="shared" ref="E13:G13" si="1">SUM(E17+E18+E19+E20+E21+E25+E22+E23+E26+E24+E27)</f>
        <v>46645575375.360001</v>
      </c>
      <c r="F13" s="191">
        <f t="shared" si="1"/>
        <v>69840924390</v>
      </c>
      <c r="G13" s="191">
        <f t="shared" si="1"/>
        <v>116486499765.36</v>
      </c>
      <c r="H13" s="236">
        <f>G13/D13</f>
        <v>0.5912939252373699</v>
      </c>
      <c r="I13" s="209"/>
      <c r="J13" s="175"/>
      <c r="K13" s="270"/>
      <c r="L13" s="270"/>
    </row>
    <row r="14" spans="1:15" s="176" customFormat="1" ht="25.5" customHeight="1" x14ac:dyDescent="0.25">
      <c r="A14" s="169" t="s">
        <v>16</v>
      </c>
      <c r="B14" s="167" t="s">
        <v>17</v>
      </c>
      <c r="C14" s="185" t="s">
        <v>18</v>
      </c>
      <c r="D14" s="191">
        <f>SUM(D29+D49+D54+D60+D65+D72+D76+D81+D93+D89+D40)</f>
        <v>47985440000</v>
      </c>
      <c r="E14" s="191">
        <f t="shared" ref="E14:G14" si="2">SUM(E29+E49+E54+E60+E65+E72+E76+E81+E93+E89+E40)</f>
        <v>10146923188.25</v>
      </c>
      <c r="F14" s="191">
        <f t="shared" si="2"/>
        <v>2703844150.9200001</v>
      </c>
      <c r="G14" s="191">
        <f t="shared" si="2"/>
        <v>12850767339.17</v>
      </c>
      <c r="H14" s="236">
        <f>G14/D14</f>
        <v>0.26780555391739663</v>
      </c>
      <c r="I14" s="209"/>
      <c r="J14" s="280"/>
      <c r="K14" s="281"/>
      <c r="L14" s="282"/>
      <c r="M14" s="282"/>
      <c r="N14" s="282"/>
      <c r="O14" s="282"/>
    </row>
    <row r="15" spans="1:15" s="176" customFormat="1" x14ac:dyDescent="0.25">
      <c r="A15" s="169"/>
      <c r="B15" s="22"/>
      <c r="C15" s="185"/>
      <c r="D15" s="191"/>
      <c r="E15" s="191"/>
      <c r="F15" s="191"/>
      <c r="G15" s="191"/>
      <c r="H15" s="236"/>
      <c r="I15" s="209"/>
      <c r="J15" s="280"/>
      <c r="K15" s="282"/>
      <c r="L15" s="282"/>
      <c r="M15" s="282"/>
      <c r="N15" s="282"/>
      <c r="O15" s="282"/>
    </row>
    <row r="16" spans="1:15" s="187" customFormat="1" ht="22.5" customHeight="1" x14ac:dyDescent="0.25">
      <c r="A16" s="23" t="s">
        <v>19</v>
      </c>
      <c r="B16" s="46" t="s">
        <v>281</v>
      </c>
      <c r="C16" s="185" t="s">
        <v>1</v>
      </c>
      <c r="D16" s="196">
        <f>SUM(D17:D27)</f>
        <v>197002700000</v>
      </c>
      <c r="E16" s="196">
        <f>SUM(E17:E27)</f>
        <v>46645575375.360001</v>
      </c>
      <c r="F16" s="196">
        <f>SUM(F17:F27)</f>
        <v>69840924390</v>
      </c>
      <c r="G16" s="191">
        <f>SUM(G17:G27)</f>
        <v>116486499765.36</v>
      </c>
      <c r="H16" s="236">
        <f t="shared" ref="H16:H27" si="3">G16/D16</f>
        <v>0.5912939252373699</v>
      </c>
      <c r="I16" s="210"/>
      <c r="J16" s="297"/>
      <c r="K16" s="298"/>
      <c r="L16" s="279"/>
      <c r="M16" s="279"/>
      <c r="N16" s="279"/>
      <c r="O16" s="279"/>
    </row>
    <row r="17" spans="1:15" s="176" customFormat="1" ht="18.75" customHeight="1" x14ac:dyDescent="0.25">
      <c r="A17" s="188"/>
      <c r="B17" s="177" t="s">
        <v>269</v>
      </c>
      <c r="C17" s="183" t="s">
        <v>20</v>
      </c>
      <c r="D17" s="192">
        <v>6000000000</v>
      </c>
      <c r="E17" s="192">
        <f>'Realisasi Mei'!G17</f>
        <v>1857748546</v>
      </c>
      <c r="F17" s="192">
        <v>399928873</v>
      </c>
      <c r="G17" s="192">
        <f>E17+F17</f>
        <v>2257677419</v>
      </c>
      <c r="H17" s="24">
        <f t="shared" si="3"/>
        <v>0.37627956983333333</v>
      </c>
      <c r="I17" s="211" t="s">
        <v>21</v>
      </c>
      <c r="J17" s="294"/>
      <c r="K17" s="296"/>
      <c r="L17" s="282"/>
      <c r="M17" s="282"/>
      <c r="N17" s="282"/>
      <c r="O17" s="282"/>
    </row>
    <row r="18" spans="1:15" s="176" customFormat="1" ht="18.75" customHeight="1" x14ac:dyDescent="0.25">
      <c r="A18" s="188"/>
      <c r="B18" s="177" t="s">
        <v>270</v>
      </c>
      <c r="C18" s="183" t="s">
        <v>22</v>
      </c>
      <c r="D18" s="192">
        <v>9500000000</v>
      </c>
      <c r="E18" s="192">
        <f>'Realisasi Mei'!G18</f>
        <v>3957273260</v>
      </c>
      <c r="F18" s="192">
        <v>987750105</v>
      </c>
      <c r="G18" s="192">
        <f t="shared" ref="G18:G27" si="4">E18+F18</f>
        <v>4945023365</v>
      </c>
      <c r="H18" s="24">
        <f t="shared" si="3"/>
        <v>0.52052877526315788</v>
      </c>
      <c r="I18" s="212" t="s">
        <v>23</v>
      </c>
      <c r="J18" s="294"/>
      <c r="K18" s="296"/>
      <c r="L18" s="282"/>
      <c r="M18" s="282"/>
      <c r="N18" s="282"/>
      <c r="O18" s="282"/>
    </row>
    <row r="19" spans="1:15" s="176" customFormat="1" ht="18.75" customHeight="1" x14ac:dyDescent="0.25">
      <c r="A19" s="188"/>
      <c r="B19" s="177" t="s">
        <v>271</v>
      </c>
      <c r="C19" s="183" t="s">
        <v>24</v>
      </c>
      <c r="D19" s="192">
        <v>1500000000</v>
      </c>
      <c r="E19" s="192">
        <f>'Realisasi Mei'!G19</f>
        <v>577747221</v>
      </c>
      <c r="F19" s="192">
        <v>297886082</v>
      </c>
      <c r="G19" s="192">
        <f t="shared" si="4"/>
        <v>875633303</v>
      </c>
      <c r="H19" s="24">
        <f t="shared" si="3"/>
        <v>0.58375553533333335</v>
      </c>
      <c r="I19" s="211" t="s">
        <v>25</v>
      </c>
      <c r="J19" s="294"/>
      <c r="K19" s="296"/>
      <c r="L19" s="282"/>
      <c r="M19" s="282"/>
      <c r="N19" s="282"/>
      <c r="O19" s="282"/>
    </row>
    <row r="20" spans="1:15" s="176" customFormat="1" ht="18.75" customHeight="1" x14ac:dyDescent="0.25">
      <c r="A20" s="188"/>
      <c r="B20" s="177" t="s">
        <v>272</v>
      </c>
      <c r="C20" s="183" t="s">
        <v>26</v>
      </c>
      <c r="D20" s="192">
        <v>3500000000</v>
      </c>
      <c r="E20" s="192">
        <f>'Realisasi Mei'!G20</f>
        <v>1240655687</v>
      </c>
      <c r="F20" s="192">
        <v>301187710</v>
      </c>
      <c r="G20" s="192">
        <f t="shared" si="4"/>
        <v>1541843397</v>
      </c>
      <c r="H20" s="24">
        <f t="shared" si="3"/>
        <v>0.44052668485714286</v>
      </c>
      <c r="I20" s="211" t="s">
        <v>27</v>
      </c>
      <c r="J20" s="294"/>
      <c r="K20" s="296"/>
      <c r="L20" s="282"/>
      <c r="M20" s="282"/>
      <c r="N20" s="282"/>
      <c r="O20" s="282"/>
    </row>
    <row r="21" spans="1:15" s="176" customFormat="1" ht="18.75" customHeight="1" x14ac:dyDescent="0.25">
      <c r="A21" s="188"/>
      <c r="B21" s="177" t="s">
        <v>676</v>
      </c>
      <c r="C21" s="183" t="s">
        <v>677</v>
      </c>
      <c r="D21" s="192">
        <v>51000000000</v>
      </c>
      <c r="E21" s="192">
        <f>'Realisasi Mei'!G21</f>
        <v>22011945081.360001</v>
      </c>
      <c r="F21" s="192">
        <f>3422067338+345743949</f>
        <v>3767811287</v>
      </c>
      <c r="G21" s="192">
        <f t="shared" si="4"/>
        <v>25779756368.360001</v>
      </c>
      <c r="H21" s="24">
        <f t="shared" si="3"/>
        <v>0.50548541898745103</v>
      </c>
      <c r="I21" s="211" t="s">
        <v>28</v>
      </c>
      <c r="J21" s="294"/>
      <c r="K21" s="296"/>
      <c r="L21" s="282"/>
      <c r="M21" s="282"/>
      <c r="N21" s="282"/>
      <c r="O21" s="282"/>
    </row>
    <row r="22" spans="1:15" s="176" customFormat="1" ht="18.75" customHeight="1" x14ac:dyDescent="0.25">
      <c r="A22" s="188"/>
      <c r="B22" s="177" t="s">
        <v>273</v>
      </c>
      <c r="C22" s="183" t="s">
        <v>31</v>
      </c>
      <c r="D22" s="192">
        <v>1800000000</v>
      </c>
      <c r="E22" s="192">
        <f>'Realisasi Mei'!G22</f>
        <v>300612600</v>
      </c>
      <c r="F22" s="192">
        <v>87946503</v>
      </c>
      <c r="G22" s="192">
        <f t="shared" si="4"/>
        <v>388559103</v>
      </c>
      <c r="H22" s="24">
        <f t="shared" si="3"/>
        <v>0.21586616833333333</v>
      </c>
      <c r="I22" s="213" t="s">
        <v>32</v>
      </c>
      <c r="J22" s="294"/>
      <c r="K22" s="296"/>
      <c r="L22" s="282"/>
      <c r="M22" s="282"/>
      <c r="N22" s="282"/>
      <c r="O22" s="282"/>
    </row>
    <row r="23" spans="1:15" s="176" customFormat="1" ht="18.75" customHeight="1" x14ac:dyDescent="0.25">
      <c r="A23" s="188"/>
      <c r="B23" s="177" t="s">
        <v>274</v>
      </c>
      <c r="C23" s="183" t="s">
        <v>33</v>
      </c>
      <c r="D23" s="192">
        <v>1430800000</v>
      </c>
      <c r="E23" s="192">
        <f>'Realisasi Mei'!G23</f>
        <v>407188036</v>
      </c>
      <c r="F23" s="192">
        <v>84718458</v>
      </c>
      <c r="G23" s="192">
        <f t="shared" si="4"/>
        <v>491906494</v>
      </c>
      <c r="H23" s="24">
        <f t="shared" si="3"/>
        <v>0.34379822057590159</v>
      </c>
      <c r="I23" s="213" t="s">
        <v>34</v>
      </c>
      <c r="J23" s="294"/>
      <c r="K23" s="296"/>
      <c r="L23" s="282"/>
      <c r="M23" s="282"/>
      <c r="N23" s="282"/>
      <c r="O23" s="282"/>
    </row>
    <row r="24" spans="1:15" s="176" customFormat="1" ht="18.75" customHeight="1" x14ac:dyDescent="0.25">
      <c r="A24" s="188"/>
      <c r="B24" s="177" t="s">
        <v>275</v>
      </c>
      <c r="C24" s="183" t="s">
        <v>35</v>
      </c>
      <c r="D24" s="192">
        <v>115200000</v>
      </c>
      <c r="E24" s="192">
        <f>'Realisasi Mei'!G24</f>
        <v>42512900</v>
      </c>
      <c r="F24" s="192">
        <v>2362600</v>
      </c>
      <c r="G24" s="192">
        <f t="shared" si="4"/>
        <v>44875500</v>
      </c>
      <c r="H24" s="24">
        <f t="shared" si="3"/>
        <v>0.38954427083333332</v>
      </c>
      <c r="I24" s="213" t="s">
        <v>36</v>
      </c>
      <c r="J24" s="294"/>
      <c r="K24" s="296"/>
      <c r="L24" s="282"/>
      <c r="M24" s="282"/>
      <c r="N24" s="282"/>
      <c r="O24" s="282"/>
    </row>
    <row r="25" spans="1:15" s="176" customFormat="1" ht="18.75" customHeight="1" x14ac:dyDescent="0.25">
      <c r="A25" s="188"/>
      <c r="B25" s="177" t="s">
        <v>276</v>
      </c>
      <c r="C25" s="183" t="s">
        <v>29</v>
      </c>
      <c r="D25" s="192">
        <v>1606700000</v>
      </c>
      <c r="E25" s="192">
        <f>'Realisasi Mei'!G25</f>
        <v>0</v>
      </c>
      <c r="F25" s="192">
        <v>0</v>
      </c>
      <c r="G25" s="192">
        <f t="shared" si="4"/>
        <v>0</v>
      </c>
      <c r="H25" s="24">
        <f t="shared" si="3"/>
        <v>0</v>
      </c>
      <c r="I25" s="214" t="s">
        <v>30</v>
      </c>
      <c r="J25" s="294"/>
      <c r="K25" s="296"/>
      <c r="L25" s="295"/>
      <c r="M25" s="295"/>
      <c r="N25" s="282"/>
      <c r="O25" s="282"/>
    </row>
    <row r="26" spans="1:15" s="176" customFormat="1" ht="18.75" customHeight="1" x14ac:dyDescent="0.25">
      <c r="A26" s="188"/>
      <c r="B26" s="177" t="s">
        <v>277</v>
      </c>
      <c r="C26" s="171" t="s">
        <v>278</v>
      </c>
      <c r="D26" s="178">
        <v>101000000000</v>
      </c>
      <c r="E26" s="192">
        <f>'Realisasi Mei'!G26</f>
        <v>12130795434</v>
      </c>
      <c r="F26" s="178">
        <v>63013072605</v>
      </c>
      <c r="G26" s="192">
        <f t="shared" si="4"/>
        <v>75143868039</v>
      </c>
      <c r="H26" s="24">
        <f t="shared" si="3"/>
        <v>0.74399869345544556</v>
      </c>
      <c r="I26" s="213" t="s">
        <v>37</v>
      </c>
      <c r="J26" s="294"/>
      <c r="K26" s="296"/>
      <c r="L26" s="295"/>
      <c r="M26" s="295"/>
    </row>
    <row r="27" spans="1:15" s="176" customFormat="1" x14ac:dyDescent="0.25">
      <c r="A27" s="188"/>
      <c r="B27" s="177" t="s">
        <v>279</v>
      </c>
      <c r="C27" s="183" t="s">
        <v>38</v>
      </c>
      <c r="D27" s="178">
        <v>19550000000</v>
      </c>
      <c r="E27" s="192">
        <f>'Realisasi Mei'!G27</f>
        <v>4119096610</v>
      </c>
      <c r="F27" s="178">
        <v>898260167</v>
      </c>
      <c r="G27" s="192">
        <f t="shared" si="4"/>
        <v>5017356777</v>
      </c>
      <c r="H27" s="24">
        <f t="shared" si="3"/>
        <v>0.25664229038363173</v>
      </c>
      <c r="I27" s="215" t="s">
        <v>474</v>
      </c>
      <c r="J27" s="294"/>
      <c r="K27" s="296"/>
      <c r="L27" s="295"/>
      <c r="M27" s="295"/>
    </row>
    <row r="28" spans="1:15" s="176" customFormat="1" x14ac:dyDescent="0.25">
      <c r="A28" s="169"/>
      <c r="B28" s="22"/>
      <c r="C28" s="25"/>
      <c r="D28" s="191"/>
      <c r="E28" s="192"/>
      <c r="F28" s="191"/>
      <c r="G28" s="191"/>
      <c r="H28" s="236"/>
      <c r="I28" s="216"/>
      <c r="J28" s="294"/>
      <c r="K28" s="295"/>
    </row>
    <row r="29" spans="1:15" s="187" customFormat="1" x14ac:dyDescent="0.25">
      <c r="A29" s="26" t="s">
        <v>39</v>
      </c>
      <c r="B29" s="22" t="s">
        <v>282</v>
      </c>
      <c r="C29" s="185" t="s">
        <v>40</v>
      </c>
      <c r="D29" s="196">
        <f>D30</f>
        <v>1000000000</v>
      </c>
      <c r="E29" s="196">
        <f t="shared" ref="E29:F29" si="5">E30</f>
        <v>265055000</v>
      </c>
      <c r="F29" s="196">
        <f t="shared" si="5"/>
        <v>63969000</v>
      </c>
      <c r="G29" s="196">
        <f>G30</f>
        <v>329024000</v>
      </c>
      <c r="H29" s="236">
        <f t="shared" ref="H29:H35" si="6">G29/D29</f>
        <v>0.32902399999999998</v>
      </c>
      <c r="I29" s="216"/>
      <c r="J29" s="297"/>
      <c r="K29" s="298"/>
    </row>
    <row r="30" spans="1:15" s="187" customFormat="1" x14ac:dyDescent="0.25">
      <c r="A30" s="26" t="s">
        <v>413</v>
      </c>
      <c r="B30" s="170" t="s">
        <v>288</v>
      </c>
      <c r="C30" s="185" t="s">
        <v>55</v>
      </c>
      <c r="D30" s="196">
        <f>D31+D37</f>
        <v>1000000000</v>
      </c>
      <c r="E30" s="196">
        <f t="shared" ref="E30:G30" si="7">E31+E37</f>
        <v>265055000</v>
      </c>
      <c r="F30" s="196">
        <f t="shared" si="7"/>
        <v>63969000</v>
      </c>
      <c r="G30" s="196">
        <f t="shared" si="7"/>
        <v>329024000</v>
      </c>
      <c r="H30" s="236">
        <f t="shared" si="6"/>
        <v>0.32902399999999998</v>
      </c>
      <c r="I30" s="216"/>
      <c r="J30" s="297"/>
      <c r="K30" s="298"/>
    </row>
    <row r="31" spans="1:15" s="176" customFormat="1" x14ac:dyDescent="0.25">
      <c r="A31" s="188"/>
      <c r="B31" s="179" t="s">
        <v>488</v>
      </c>
      <c r="C31" s="185" t="s">
        <v>280</v>
      </c>
      <c r="D31" s="191">
        <f>SUM(D32:D35)</f>
        <v>750000000</v>
      </c>
      <c r="E31" s="191">
        <f t="shared" ref="E31:F31" si="8">SUM(E32:E35)</f>
        <v>146611000</v>
      </c>
      <c r="F31" s="191">
        <f t="shared" si="8"/>
        <v>34333000</v>
      </c>
      <c r="G31" s="191">
        <f>SUM(G32:G35)</f>
        <v>180944000</v>
      </c>
      <c r="H31" s="236">
        <f t="shared" si="6"/>
        <v>0.24125866666666668</v>
      </c>
      <c r="I31" s="207" t="s">
        <v>41</v>
      </c>
      <c r="J31" s="294"/>
      <c r="K31" s="295"/>
    </row>
    <row r="32" spans="1:15" s="176" customFormat="1" x14ac:dyDescent="0.25">
      <c r="A32" s="188"/>
      <c r="B32" s="177" t="s">
        <v>489</v>
      </c>
      <c r="C32" s="183" t="s">
        <v>42</v>
      </c>
      <c r="D32" s="192">
        <v>220000000</v>
      </c>
      <c r="E32" s="192">
        <f>'Realisasi Mei'!G32</f>
        <v>29981000</v>
      </c>
      <c r="F32" s="192">
        <v>7278000</v>
      </c>
      <c r="G32" s="192">
        <f>E32+F32</f>
        <v>37259000</v>
      </c>
      <c r="H32" s="24">
        <f t="shared" si="6"/>
        <v>0.1693590909090909</v>
      </c>
      <c r="I32" s="207"/>
      <c r="J32" s="294"/>
      <c r="K32" s="295"/>
    </row>
    <row r="33" spans="1:10" s="176" customFormat="1" x14ac:dyDescent="0.25">
      <c r="A33" s="188"/>
      <c r="B33" s="177" t="s">
        <v>490</v>
      </c>
      <c r="C33" s="183" t="s">
        <v>43</v>
      </c>
      <c r="D33" s="192">
        <v>494000000</v>
      </c>
      <c r="E33" s="192">
        <f>'Realisasi Mei'!G33</f>
        <v>101480000</v>
      </c>
      <c r="F33" s="192">
        <v>23785000</v>
      </c>
      <c r="G33" s="192">
        <f t="shared" ref="G33:G35" si="9">E33+F33</f>
        <v>125265000</v>
      </c>
      <c r="H33" s="24">
        <f t="shared" si="6"/>
        <v>0.25357287449392713</v>
      </c>
      <c r="I33" s="207"/>
      <c r="J33" s="175"/>
    </row>
    <row r="34" spans="1:10" s="176" customFormat="1" x14ac:dyDescent="0.25">
      <c r="A34" s="188"/>
      <c r="B34" s="177" t="s">
        <v>491</v>
      </c>
      <c r="C34" s="183" t="s">
        <v>44</v>
      </c>
      <c r="D34" s="192">
        <v>36000000</v>
      </c>
      <c r="E34" s="192">
        <f>'Realisasi Mei'!G34</f>
        <v>15150000</v>
      </c>
      <c r="F34" s="192">
        <v>3270000</v>
      </c>
      <c r="G34" s="192">
        <f t="shared" si="9"/>
        <v>18420000</v>
      </c>
      <c r="H34" s="24">
        <f t="shared" si="6"/>
        <v>0.51166666666666671</v>
      </c>
      <c r="I34" s="207"/>
      <c r="J34" s="175"/>
    </row>
    <row r="35" spans="1:10" s="176" customFormat="1" hidden="1" x14ac:dyDescent="0.25">
      <c r="A35" s="188"/>
      <c r="B35" s="177"/>
      <c r="C35" s="183" t="s">
        <v>45</v>
      </c>
      <c r="D35" s="192"/>
      <c r="E35" s="192">
        <f>'Realisasi Februari'!G35</f>
        <v>0</v>
      </c>
      <c r="F35" s="192"/>
      <c r="G35" s="192">
        <f t="shared" si="9"/>
        <v>0</v>
      </c>
      <c r="H35" s="24" t="e">
        <f t="shared" si="6"/>
        <v>#DIV/0!</v>
      </c>
      <c r="I35" s="207"/>
      <c r="J35" s="175"/>
    </row>
    <row r="36" spans="1:10" s="176" customFormat="1" ht="15" customHeight="1" x14ac:dyDescent="0.25">
      <c r="A36" s="188"/>
      <c r="B36" s="177"/>
      <c r="C36" s="166"/>
      <c r="D36" s="192"/>
      <c r="E36" s="192"/>
      <c r="F36" s="192"/>
      <c r="G36" s="192"/>
      <c r="H36" s="24"/>
      <c r="I36" s="207"/>
      <c r="J36" s="175"/>
    </row>
    <row r="37" spans="1:10" s="187" customFormat="1" x14ac:dyDescent="0.25">
      <c r="A37" s="26" t="s">
        <v>414</v>
      </c>
      <c r="B37" s="170" t="s">
        <v>492</v>
      </c>
      <c r="C37" s="185" t="s">
        <v>494</v>
      </c>
      <c r="D37" s="196">
        <f>D38</f>
        <v>250000000</v>
      </c>
      <c r="E37" s="196">
        <f t="shared" ref="E37:G37" si="10">E38</f>
        <v>118444000</v>
      </c>
      <c r="F37" s="196">
        <f t="shared" si="10"/>
        <v>29636000</v>
      </c>
      <c r="G37" s="196">
        <f t="shared" si="10"/>
        <v>148080000</v>
      </c>
      <c r="H37" s="236">
        <f>G37/D37</f>
        <v>0.59231999999999996</v>
      </c>
      <c r="I37" s="216"/>
      <c r="J37" s="186"/>
    </row>
    <row r="38" spans="1:10" s="176" customFormat="1" x14ac:dyDescent="0.25">
      <c r="A38" s="188"/>
      <c r="B38" s="177" t="s">
        <v>493</v>
      </c>
      <c r="C38" s="183" t="s">
        <v>495</v>
      </c>
      <c r="D38" s="192">
        <v>250000000</v>
      </c>
      <c r="E38" s="192">
        <f>'Realisasi Mei'!G38</f>
        <v>118444000</v>
      </c>
      <c r="F38" s="192">
        <v>29636000</v>
      </c>
      <c r="G38" s="181">
        <f>E38+F38</f>
        <v>148080000</v>
      </c>
      <c r="H38" s="24">
        <f>G38/D38</f>
        <v>0.59231999999999996</v>
      </c>
      <c r="I38" s="207" t="s">
        <v>41</v>
      </c>
      <c r="J38" s="175"/>
    </row>
    <row r="39" spans="1:10" s="176" customFormat="1" ht="15" customHeight="1" x14ac:dyDescent="0.25">
      <c r="A39" s="188"/>
      <c r="B39" s="177"/>
      <c r="C39" s="166"/>
      <c r="D39" s="192"/>
      <c r="E39" s="192"/>
      <c r="F39" s="192"/>
      <c r="G39" s="192"/>
      <c r="H39" s="24"/>
      <c r="I39" s="207"/>
      <c r="J39" s="175"/>
    </row>
    <row r="40" spans="1:10" s="176" customFormat="1" x14ac:dyDescent="0.25">
      <c r="A40" s="168" t="s">
        <v>46</v>
      </c>
      <c r="B40" s="22" t="s">
        <v>592</v>
      </c>
      <c r="C40" s="185" t="s">
        <v>594</v>
      </c>
      <c r="D40" s="196">
        <f>D41+D47</f>
        <v>15125050000</v>
      </c>
      <c r="E40" s="196">
        <f>E41+E47</f>
        <v>636437938.25</v>
      </c>
      <c r="F40" s="196">
        <f>F41+F47</f>
        <v>765186900.91999996</v>
      </c>
      <c r="G40" s="196">
        <f t="shared" ref="G40" si="11">G41+G47</f>
        <v>1401624839.1700001</v>
      </c>
      <c r="H40" s="236">
        <f t="shared" ref="H40:H47" si="12">G40/D40</f>
        <v>9.266910451006774E-2</v>
      </c>
      <c r="I40" s="207"/>
      <c r="J40" s="175"/>
    </row>
    <row r="41" spans="1:10" s="176" customFormat="1" x14ac:dyDescent="0.25">
      <c r="A41" s="188"/>
      <c r="B41" s="170" t="s">
        <v>285</v>
      </c>
      <c r="C41" s="185" t="s">
        <v>444</v>
      </c>
      <c r="D41" s="191">
        <f>D42</f>
        <v>135000000</v>
      </c>
      <c r="E41" s="191">
        <f t="shared" ref="E41:G41" si="13">E42</f>
        <v>22600000</v>
      </c>
      <c r="F41" s="191">
        <f t="shared" si="13"/>
        <v>33800000</v>
      </c>
      <c r="G41" s="191">
        <f t="shared" si="13"/>
        <v>56400000</v>
      </c>
      <c r="H41" s="236">
        <f t="shared" si="12"/>
        <v>0.4177777777777778</v>
      </c>
      <c r="I41" s="207"/>
      <c r="J41" s="175"/>
    </row>
    <row r="42" spans="1:10" s="187" customFormat="1" x14ac:dyDescent="0.25">
      <c r="A42" s="169"/>
      <c r="B42" s="170" t="s">
        <v>284</v>
      </c>
      <c r="C42" s="185" t="s">
        <v>595</v>
      </c>
      <c r="D42" s="191">
        <f>SUM(D43)</f>
        <v>135000000</v>
      </c>
      <c r="E42" s="191">
        <f t="shared" ref="E42:G42" si="14">SUM(E43)</f>
        <v>22600000</v>
      </c>
      <c r="F42" s="191">
        <f t="shared" si="14"/>
        <v>33800000</v>
      </c>
      <c r="G42" s="191">
        <f t="shared" si="14"/>
        <v>56400000</v>
      </c>
      <c r="H42" s="236">
        <f t="shared" si="12"/>
        <v>0.4177777777777778</v>
      </c>
      <c r="I42" s="216"/>
      <c r="J42" s="186"/>
    </row>
    <row r="43" spans="1:10" s="176" customFormat="1" x14ac:dyDescent="0.25">
      <c r="A43" s="188"/>
      <c r="B43" s="170" t="s">
        <v>593</v>
      </c>
      <c r="C43" s="185" t="s">
        <v>595</v>
      </c>
      <c r="D43" s="191">
        <f>SUM(D44:D45)</f>
        <v>135000000</v>
      </c>
      <c r="E43" s="191">
        <f t="shared" ref="E43:G43" si="15">SUM(E44:E45)</f>
        <v>22600000</v>
      </c>
      <c r="F43" s="191">
        <f t="shared" si="15"/>
        <v>33800000</v>
      </c>
      <c r="G43" s="191">
        <f t="shared" si="15"/>
        <v>56400000</v>
      </c>
      <c r="H43" s="236">
        <f t="shared" si="12"/>
        <v>0.4177777777777778</v>
      </c>
      <c r="I43" s="207" t="s">
        <v>47</v>
      </c>
      <c r="J43" s="175"/>
    </row>
    <row r="44" spans="1:10" s="176" customFormat="1" x14ac:dyDescent="0.25">
      <c r="A44" s="188"/>
      <c r="B44" s="178"/>
      <c r="C44" s="193" t="s">
        <v>316</v>
      </c>
      <c r="D44" s="192">
        <v>5000000</v>
      </c>
      <c r="E44" s="192">
        <f>'Realisasi Mei'!G44</f>
        <v>600000</v>
      </c>
      <c r="F44" s="192">
        <v>0</v>
      </c>
      <c r="G44" s="192">
        <f>E44+F44</f>
        <v>600000</v>
      </c>
      <c r="H44" s="24">
        <f t="shared" si="12"/>
        <v>0.12</v>
      </c>
      <c r="I44" s="207"/>
      <c r="J44" s="175"/>
    </row>
    <row r="45" spans="1:10" s="176" customFormat="1" x14ac:dyDescent="0.25">
      <c r="A45" s="188"/>
      <c r="B45" s="178"/>
      <c r="C45" s="193" t="s">
        <v>317</v>
      </c>
      <c r="D45" s="192">
        <v>130000000</v>
      </c>
      <c r="E45" s="192">
        <f>'Realisasi Mei'!G45</f>
        <v>22000000</v>
      </c>
      <c r="F45" s="192">
        <v>33800000</v>
      </c>
      <c r="G45" s="192">
        <f t="shared" ref="G45:G47" si="16">E45+F45</f>
        <v>55800000</v>
      </c>
      <c r="H45" s="24">
        <f t="shared" si="12"/>
        <v>0.42923076923076925</v>
      </c>
      <c r="I45" s="207"/>
      <c r="J45" s="175"/>
    </row>
    <row r="46" spans="1:10" s="176" customFormat="1" x14ac:dyDescent="0.25">
      <c r="A46" s="188"/>
      <c r="B46" s="178"/>
      <c r="C46" s="185" t="s">
        <v>60</v>
      </c>
      <c r="D46" s="192"/>
      <c r="E46" s="192"/>
      <c r="F46" s="192"/>
      <c r="G46" s="192">
        <f t="shared" si="16"/>
        <v>0</v>
      </c>
      <c r="H46" s="24" t="e">
        <f t="shared" si="12"/>
        <v>#DIV/0!</v>
      </c>
      <c r="I46" s="207"/>
      <c r="J46" s="175"/>
    </row>
    <row r="47" spans="1:10" s="176" customFormat="1" x14ac:dyDescent="0.25">
      <c r="A47" s="188"/>
      <c r="B47" s="178"/>
      <c r="C47" s="341" t="s">
        <v>692</v>
      </c>
      <c r="D47" s="191">
        <v>14990050000</v>
      </c>
      <c r="E47" s="191">
        <f>'Realisasi Mei'!G47</f>
        <v>613837938.25</v>
      </c>
      <c r="F47" s="191">
        <f>'[6]2022'!$G$35</f>
        <v>731386900.91999996</v>
      </c>
      <c r="G47" s="191">
        <f t="shared" si="16"/>
        <v>1345224839.1700001</v>
      </c>
      <c r="H47" s="236">
        <f t="shared" si="12"/>
        <v>8.9741184263561508E-2</v>
      </c>
      <c r="I47" s="207"/>
      <c r="J47" s="175"/>
    </row>
    <row r="48" spans="1:10" s="176" customFormat="1" ht="15" customHeight="1" x14ac:dyDescent="0.25">
      <c r="A48" s="188"/>
      <c r="B48" s="177"/>
      <c r="C48" s="166"/>
      <c r="D48" s="192"/>
      <c r="E48" s="192"/>
      <c r="F48" s="192"/>
      <c r="G48" s="192"/>
      <c r="H48" s="24"/>
      <c r="I48" s="207"/>
      <c r="J48" s="175"/>
    </row>
    <row r="49" spans="1:11" s="176" customFormat="1" x14ac:dyDescent="0.25">
      <c r="A49" s="168" t="s">
        <v>8</v>
      </c>
      <c r="B49" s="22" t="s">
        <v>283</v>
      </c>
      <c r="C49" s="185" t="s">
        <v>48</v>
      </c>
      <c r="D49" s="196">
        <f>SUM(D50)</f>
        <v>50000000</v>
      </c>
      <c r="E49" s="196">
        <f t="shared" ref="E49:G49" si="17">SUM(E50)</f>
        <v>8400000</v>
      </c>
      <c r="F49" s="196">
        <f t="shared" si="17"/>
        <v>3300000</v>
      </c>
      <c r="G49" s="196">
        <f t="shared" si="17"/>
        <v>11700000</v>
      </c>
      <c r="H49" s="236">
        <f>G49/D49</f>
        <v>0.23400000000000001</v>
      </c>
      <c r="I49" s="207"/>
      <c r="J49" s="175"/>
    </row>
    <row r="50" spans="1:11" s="176" customFormat="1" x14ac:dyDescent="0.25">
      <c r="A50" s="188"/>
      <c r="B50" s="170" t="s">
        <v>285</v>
      </c>
      <c r="C50" s="185" t="s">
        <v>444</v>
      </c>
      <c r="D50" s="191">
        <f>D51</f>
        <v>50000000</v>
      </c>
      <c r="E50" s="191">
        <f t="shared" ref="E50:G50" si="18">E51</f>
        <v>8400000</v>
      </c>
      <c r="F50" s="191">
        <f t="shared" si="18"/>
        <v>3300000</v>
      </c>
      <c r="G50" s="191">
        <f t="shared" si="18"/>
        <v>11700000</v>
      </c>
      <c r="H50" s="236">
        <f>G50/D50</f>
        <v>0.23400000000000001</v>
      </c>
      <c r="I50" s="207"/>
      <c r="J50" s="175"/>
    </row>
    <row r="51" spans="1:11" s="187" customFormat="1" x14ac:dyDescent="0.25">
      <c r="A51" s="169"/>
      <c r="B51" s="170" t="s">
        <v>284</v>
      </c>
      <c r="C51" s="185" t="s">
        <v>286</v>
      </c>
      <c r="D51" s="191">
        <f>SUM(D52)</f>
        <v>50000000</v>
      </c>
      <c r="E51" s="191">
        <f t="shared" ref="E51:G51" si="19">SUM(E52)</f>
        <v>8400000</v>
      </c>
      <c r="F51" s="191">
        <f t="shared" si="19"/>
        <v>3300000</v>
      </c>
      <c r="G51" s="191">
        <f t="shared" si="19"/>
        <v>11700000</v>
      </c>
      <c r="H51" s="236">
        <f>G51/D51</f>
        <v>0.23400000000000001</v>
      </c>
      <c r="I51" s="216"/>
      <c r="J51" s="186"/>
    </row>
    <row r="52" spans="1:11" s="176" customFormat="1" x14ac:dyDescent="0.25">
      <c r="A52" s="188"/>
      <c r="B52" s="178" t="s">
        <v>496</v>
      </c>
      <c r="C52" s="183" t="s">
        <v>497</v>
      </c>
      <c r="D52" s="192">
        <v>50000000</v>
      </c>
      <c r="E52" s="192">
        <f>'Realisasi Mei'!G52</f>
        <v>8400000</v>
      </c>
      <c r="F52" s="192">
        <v>3300000</v>
      </c>
      <c r="G52" s="192">
        <f>E52+F52</f>
        <v>11700000</v>
      </c>
      <c r="H52" s="24">
        <f>G52/D52</f>
        <v>0.23400000000000001</v>
      </c>
      <c r="I52" s="207" t="s">
        <v>47</v>
      </c>
      <c r="J52" s="175"/>
    </row>
    <row r="53" spans="1:11" s="176" customFormat="1" x14ac:dyDescent="0.25">
      <c r="A53" s="169"/>
      <c r="B53" s="22"/>
      <c r="C53" s="25"/>
      <c r="D53" s="192"/>
      <c r="E53" s="192"/>
      <c r="F53" s="192"/>
      <c r="G53" s="191"/>
      <c r="H53" s="236"/>
      <c r="I53" s="207"/>
      <c r="J53" s="175"/>
    </row>
    <row r="54" spans="1:11" s="176" customFormat="1" x14ac:dyDescent="0.25">
      <c r="A54" s="168" t="s">
        <v>49</v>
      </c>
      <c r="B54" s="22" t="s">
        <v>287</v>
      </c>
      <c r="C54" s="185" t="s">
        <v>50</v>
      </c>
      <c r="D54" s="196">
        <f>D55</f>
        <v>750000000</v>
      </c>
      <c r="E54" s="196">
        <f t="shared" ref="E54:G56" si="20">E55</f>
        <v>295960000</v>
      </c>
      <c r="F54" s="196">
        <f t="shared" si="20"/>
        <v>72720000</v>
      </c>
      <c r="G54" s="196">
        <f t="shared" si="20"/>
        <v>368680000</v>
      </c>
      <c r="H54" s="236">
        <f>G54/D54</f>
        <v>0.49157333333333331</v>
      </c>
      <c r="I54" s="207"/>
      <c r="J54" s="175"/>
    </row>
    <row r="55" spans="1:11" s="187" customFormat="1" x14ac:dyDescent="0.25">
      <c r="A55" s="169"/>
      <c r="B55" s="170" t="s">
        <v>288</v>
      </c>
      <c r="C55" s="185" t="s">
        <v>55</v>
      </c>
      <c r="D55" s="191">
        <f>D56</f>
        <v>750000000</v>
      </c>
      <c r="E55" s="191">
        <f t="shared" si="20"/>
        <v>295960000</v>
      </c>
      <c r="F55" s="191">
        <f t="shared" si="20"/>
        <v>72720000</v>
      </c>
      <c r="G55" s="191">
        <f t="shared" si="20"/>
        <v>368680000</v>
      </c>
      <c r="H55" s="236">
        <f>G55/D55</f>
        <v>0.49157333333333331</v>
      </c>
      <c r="I55" s="216" t="s">
        <v>52</v>
      </c>
      <c r="J55" s="186"/>
    </row>
    <row r="56" spans="1:11" s="176" customFormat="1" x14ac:dyDescent="0.25">
      <c r="A56" s="188"/>
      <c r="B56" s="170" t="s">
        <v>499</v>
      </c>
      <c r="C56" s="185" t="s">
        <v>51</v>
      </c>
      <c r="D56" s="191">
        <f>D57</f>
        <v>750000000</v>
      </c>
      <c r="E56" s="191">
        <f t="shared" si="20"/>
        <v>295960000</v>
      </c>
      <c r="F56" s="191">
        <f t="shared" si="20"/>
        <v>72720000</v>
      </c>
      <c r="G56" s="191">
        <f t="shared" si="20"/>
        <v>368680000</v>
      </c>
      <c r="H56" s="236">
        <f>G56/D56</f>
        <v>0.49157333333333331</v>
      </c>
      <c r="I56" s="207"/>
      <c r="J56" s="175"/>
    </row>
    <row r="57" spans="1:11" s="176" customFormat="1" x14ac:dyDescent="0.25">
      <c r="A57" s="188"/>
      <c r="B57" s="178" t="s">
        <v>498</v>
      </c>
      <c r="C57" s="183" t="s">
        <v>51</v>
      </c>
      <c r="D57" s="192">
        <v>750000000</v>
      </c>
      <c r="E57" s="192">
        <f>'Realisasi Mei'!G57</f>
        <v>295960000</v>
      </c>
      <c r="F57" s="192">
        <v>72720000</v>
      </c>
      <c r="G57" s="192">
        <f>E57+F57</f>
        <v>368680000</v>
      </c>
      <c r="H57" s="24">
        <f>G57/D57</f>
        <v>0.49157333333333331</v>
      </c>
      <c r="I57" s="207"/>
      <c r="J57" s="175"/>
      <c r="K57" s="270"/>
    </row>
    <row r="58" spans="1:11" s="176" customFormat="1" x14ac:dyDescent="0.25">
      <c r="A58" s="169"/>
      <c r="B58" s="22"/>
      <c r="C58" s="25"/>
      <c r="D58" s="191"/>
      <c r="E58" s="191"/>
      <c r="F58" s="191"/>
      <c r="G58" s="191"/>
      <c r="H58" s="236"/>
      <c r="I58" s="217"/>
      <c r="J58" s="175"/>
    </row>
    <row r="59" spans="1:11" s="176" customFormat="1" x14ac:dyDescent="0.25">
      <c r="A59" s="168" t="s">
        <v>53</v>
      </c>
      <c r="B59" s="22" t="s">
        <v>289</v>
      </c>
      <c r="C59" s="185" t="s">
        <v>54</v>
      </c>
      <c r="D59" s="196">
        <f>D60+D65+D72</f>
        <v>30000000000</v>
      </c>
      <c r="E59" s="196">
        <f t="shared" ref="E59:G59" si="21">E60+E65+E72</f>
        <v>8920783250</v>
      </c>
      <c r="F59" s="196">
        <f t="shared" si="21"/>
        <v>1794968250</v>
      </c>
      <c r="G59" s="196">
        <f t="shared" si="21"/>
        <v>10715751500</v>
      </c>
      <c r="H59" s="236">
        <f t="shared" ref="H59:H74" si="22">G59/D59</f>
        <v>0.35719171666666666</v>
      </c>
      <c r="I59" s="209"/>
      <c r="J59" s="175"/>
    </row>
    <row r="60" spans="1:11" s="187" customFormat="1" x14ac:dyDescent="0.25">
      <c r="A60" s="169" t="s">
        <v>413</v>
      </c>
      <c r="B60" s="170" t="s">
        <v>288</v>
      </c>
      <c r="C60" s="185" t="s">
        <v>55</v>
      </c>
      <c r="D60" s="191">
        <f>D61+D63</f>
        <v>1829475000</v>
      </c>
      <c r="E60" s="191">
        <f t="shared" ref="E60:G60" si="23">E61+E63</f>
        <v>182466150</v>
      </c>
      <c r="F60" s="191">
        <f t="shared" si="23"/>
        <v>88439100</v>
      </c>
      <c r="G60" s="191">
        <f t="shared" si="23"/>
        <v>270905250</v>
      </c>
      <c r="H60" s="236">
        <f t="shared" si="22"/>
        <v>0.14807813717049972</v>
      </c>
      <c r="I60" s="207"/>
      <c r="J60" s="186"/>
    </row>
    <row r="61" spans="1:11" s="187" customFormat="1" x14ac:dyDescent="0.25">
      <c r="A61" s="169"/>
      <c r="B61" s="170" t="s">
        <v>290</v>
      </c>
      <c r="C61" s="185" t="s">
        <v>56</v>
      </c>
      <c r="D61" s="191">
        <f>D62</f>
        <v>1000000000</v>
      </c>
      <c r="E61" s="191">
        <f t="shared" ref="E61:G61" si="24">E62</f>
        <v>140100000</v>
      </c>
      <c r="F61" s="191">
        <f t="shared" si="24"/>
        <v>67200000</v>
      </c>
      <c r="G61" s="191">
        <f t="shared" si="24"/>
        <v>207300000</v>
      </c>
      <c r="H61" s="236">
        <f t="shared" si="22"/>
        <v>0.20730000000000001</v>
      </c>
      <c r="I61" s="207"/>
      <c r="J61" s="186"/>
    </row>
    <row r="62" spans="1:11" s="176" customFormat="1" x14ac:dyDescent="0.25">
      <c r="A62" s="188"/>
      <c r="B62" s="178" t="s">
        <v>500</v>
      </c>
      <c r="C62" s="183" t="s">
        <v>56</v>
      </c>
      <c r="D62" s="192">
        <v>1000000000</v>
      </c>
      <c r="E62" s="192">
        <f>'Realisasi Mei'!G62</f>
        <v>140100000</v>
      </c>
      <c r="F62" s="192">
        <v>67200000</v>
      </c>
      <c r="G62" s="192">
        <f>E62+F62</f>
        <v>207300000</v>
      </c>
      <c r="H62" s="24">
        <f t="shared" si="22"/>
        <v>0.20730000000000001</v>
      </c>
      <c r="I62" s="207" t="s">
        <v>57</v>
      </c>
      <c r="J62" s="175"/>
    </row>
    <row r="63" spans="1:11" s="176" customFormat="1" x14ac:dyDescent="0.25">
      <c r="A63" s="188"/>
      <c r="B63" s="170" t="s">
        <v>291</v>
      </c>
      <c r="C63" s="185" t="s">
        <v>292</v>
      </c>
      <c r="D63" s="191">
        <f>D64</f>
        <v>829475000</v>
      </c>
      <c r="E63" s="191">
        <f t="shared" ref="E63:G63" si="25">E64</f>
        <v>42366150</v>
      </c>
      <c r="F63" s="191">
        <f t="shared" si="25"/>
        <v>21239100</v>
      </c>
      <c r="G63" s="191">
        <f t="shared" si="25"/>
        <v>63605250</v>
      </c>
      <c r="H63" s="236">
        <f t="shared" si="22"/>
        <v>7.6681334579101243E-2</v>
      </c>
      <c r="I63" s="207"/>
      <c r="J63" s="175"/>
    </row>
    <row r="64" spans="1:11" s="187" customFormat="1" ht="22.5" customHeight="1" x14ac:dyDescent="0.25">
      <c r="A64" s="169"/>
      <c r="B64" s="178" t="s">
        <v>501</v>
      </c>
      <c r="C64" s="183" t="s">
        <v>292</v>
      </c>
      <c r="D64" s="192">
        <v>829475000</v>
      </c>
      <c r="E64" s="192">
        <f>'Realisasi Mei'!G64</f>
        <v>42366150</v>
      </c>
      <c r="F64" s="192">
        <v>21239100</v>
      </c>
      <c r="G64" s="192">
        <f>E64+F64</f>
        <v>63605250</v>
      </c>
      <c r="H64" s="24">
        <f t="shared" si="22"/>
        <v>7.6681334579101243E-2</v>
      </c>
      <c r="I64" s="207" t="s">
        <v>58</v>
      </c>
      <c r="J64" s="186"/>
    </row>
    <row r="65" spans="1:10" s="176" customFormat="1" x14ac:dyDescent="0.25">
      <c r="A65" s="169" t="s">
        <v>414</v>
      </c>
      <c r="B65" s="170" t="s">
        <v>285</v>
      </c>
      <c r="C65" s="185" t="s">
        <v>444</v>
      </c>
      <c r="D65" s="191">
        <f>D66+D68+D70</f>
        <v>28168525000</v>
      </c>
      <c r="E65" s="191">
        <f t="shared" ref="E65:G65" si="26">E66+E68+E70</f>
        <v>8738317100</v>
      </c>
      <c r="F65" s="191">
        <f t="shared" si="26"/>
        <v>1706529150</v>
      </c>
      <c r="G65" s="191">
        <f t="shared" si="26"/>
        <v>10444846250</v>
      </c>
      <c r="H65" s="236">
        <f t="shared" si="22"/>
        <v>0.37079847986360664</v>
      </c>
      <c r="I65" s="207" t="s">
        <v>59</v>
      </c>
      <c r="J65" s="175"/>
    </row>
    <row r="66" spans="1:10" s="176" customFormat="1" x14ac:dyDescent="0.25">
      <c r="A66" s="169"/>
      <c r="B66" s="170" t="s">
        <v>293</v>
      </c>
      <c r="C66" s="185" t="s">
        <v>502</v>
      </c>
      <c r="D66" s="191">
        <f>D67</f>
        <v>74722500</v>
      </c>
      <c r="E66" s="191">
        <f t="shared" ref="E66:G66" si="27">E67</f>
        <v>28714000</v>
      </c>
      <c r="F66" s="191">
        <f t="shared" si="27"/>
        <v>30560000</v>
      </c>
      <c r="G66" s="191">
        <f t="shared" si="27"/>
        <v>59274000</v>
      </c>
      <c r="H66" s="236">
        <f t="shared" si="22"/>
        <v>0.79325504366154775</v>
      </c>
      <c r="I66" s="207"/>
      <c r="J66" s="175"/>
    </row>
    <row r="67" spans="1:10" s="176" customFormat="1" x14ac:dyDescent="0.25">
      <c r="A67" s="188"/>
      <c r="B67" s="178" t="s">
        <v>503</v>
      </c>
      <c r="C67" s="183" t="s">
        <v>504</v>
      </c>
      <c r="D67" s="192">
        <v>74722500</v>
      </c>
      <c r="E67" s="192">
        <f>'Realisasi Mei'!G67</f>
        <v>28714000</v>
      </c>
      <c r="F67" s="192">
        <v>30560000</v>
      </c>
      <c r="G67" s="192">
        <f>E67+F67</f>
        <v>59274000</v>
      </c>
      <c r="H67" s="24">
        <f t="shared" si="22"/>
        <v>0.79325504366154775</v>
      </c>
      <c r="I67" s="207"/>
      <c r="J67" s="175"/>
    </row>
    <row r="68" spans="1:10" s="176" customFormat="1" x14ac:dyDescent="0.25">
      <c r="A68" s="169"/>
      <c r="B68" s="170" t="s">
        <v>294</v>
      </c>
      <c r="C68" s="185" t="s">
        <v>295</v>
      </c>
      <c r="D68" s="191">
        <f>D69</f>
        <v>27808802500</v>
      </c>
      <c r="E68" s="191">
        <f t="shared" ref="E68:G68" si="28">E69</f>
        <v>8689849600</v>
      </c>
      <c r="F68" s="191">
        <f t="shared" si="28"/>
        <v>1661944100</v>
      </c>
      <c r="G68" s="191">
        <f t="shared" si="28"/>
        <v>10351793700</v>
      </c>
      <c r="H68" s="236">
        <f t="shared" si="22"/>
        <v>0.37224881222411499</v>
      </c>
      <c r="I68" s="218"/>
      <c r="J68" s="175"/>
    </row>
    <row r="69" spans="1:10" s="176" customFormat="1" x14ac:dyDescent="0.25">
      <c r="A69" s="188"/>
      <c r="B69" s="178" t="s">
        <v>505</v>
      </c>
      <c r="C69" s="183" t="s">
        <v>295</v>
      </c>
      <c r="D69" s="192">
        <v>27808802500</v>
      </c>
      <c r="E69" s="192">
        <f>'Realisasi Mei'!G69</f>
        <v>8689849600</v>
      </c>
      <c r="F69" s="192">
        <v>1661944100</v>
      </c>
      <c r="G69" s="192">
        <f>E69+F69</f>
        <v>10351793700</v>
      </c>
      <c r="H69" s="24">
        <f t="shared" si="22"/>
        <v>0.37224881222411499</v>
      </c>
      <c r="I69" s="218"/>
      <c r="J69" s="175"/>
    </row>
    <row r="70" spans="1:10" s="176" customFormat="1" x14ac:dyDescent="0.25">
      <c r="A70" s="188"/>
      <c r="B70" s="170" t="s">
        <v>296</v>
      </c>
      <c r="C70" s="185" t="s">
        <v>297</v>
      </c>
      <c r="D70" s="191">
        <f>SUM(D71)</f>
        <v>285000000</v>
      </c>
      <c r="E70" s="191">
        <f t="shared" ref="E70:G70" si="29">SUM(E71)</f>
        <v>19753500</v>
      </c>
      <c r="F70" s="191">
        <f t="shared" si="29"/>
        <v>14025050</v>
      </c>
      <c r="G70" s="191">
        <f t="shared" si="29"/>
        <v>33778550</v>
      </c>
      <c r="H70" s="24">
        <f t="shared" si="22"/>
        <v>0.11852122807017544</v>
      </c>
      <c r="I70" s="218"/>
      <c r="J70" s="175"/>
    </row>
    <row r="71" spans="1:10" s="176" customFormat="1" x14ac:dyDescent="0.25">
      <c r="A71" s="188"/>
      <c r="B71" s="178" t="s">
        <v>506</v>
      </c>
      <c r="C71" s="183" t="s">
        <v>297</v>
      </c>
      <c r="D71" s="192">
        <v>285000000</v>
      </c>
      <c r="E71" s="192">
        <f>'Realisasi Mei'!G71</f>
        <v>19753500</v>
      </c>
      <c r="F71" s="192">
        <v>14025050</v>
      </c>
      <c r="G71" s="192">
        <f>E71+F71</f>
        <v>33778550</v>
      </c>
      <c r="H71" s="24">
        <f t="shared" si="22"/>
        <v>0.11852122807017544</v>
      </c>
      <c r="I71" s="218"/>
      <c r="J71" s="175"/>
    </row>
    <row r="72" spans="1:10" s="176" customFormat="1" x14ac:dyDescent="0.25">
      <c r="A72" s="169" t="s">
        <v>415</v>
      </c>
      <c r="B72" s="170" t="s">
        <v>298</v>
      </c>
      <c r="C72" s="185" t="s">
        <v>60</v>
      </c>
      <c r="D72" s="191">
        <f>SUM(D73)</f>
        <v>2000000</v>
      </c>
      <c r="E72" s="191"/>
      <c r="F72" s="191">
        <f t="shared" ref="F72:G72" si="30">SUM(F73)</f>
        <v>0</v>
      </c>
      <c r="G72" s="191">
        <f t="shared" si="30"/>
        <v>0</v>
      </c>
      <c r="H72" s="236">
        <f t="shared" si="22"/>
        <v>0</v>
      </c>
      <c r="I72" s="207" t="s">
        <v>61</v>
      </c>
      <c r="J72" s="175"/>
    </row>
    <row r="73" spans="1:10" s="187" customFormat="1" x14ac:dyDescent="0.25">
      <c r="A73" s="169"/>
      <c r="B73" s="170" t="s">
        <v>299</v>
      </c>
      <c r="C73" s="185" t="s">
        <v>300</v>
      </c>
      <c r="D73" s="191">
        <f>D74</f>
        <v>2000000</v>
      </c>
      <c r="E73" s="191"/>
      <c r="F73" s="191">
        <f t="shared" ref="F73:G73" si="31">F74</f>
        <v>0</v>
      </c>
      <c r="G73" s="191">
        <f t="shared" si="31"/>
        <v>0</v>
      </c>
      <c r="H73" s="236">
        <f t="shared" si="22"/>
        <v>0</v>
      </c>
      <c r="I73" s="263"/>
      <c r="J73" s="186"/>
    </row>
    <row r="74" spans="1:10" s="176" customFormat="1" x14ac:dyDescent="0.25">
      <c r="A74" s="188"/>
      <c r="B74" s="178" t="s">
        <v>507</v>
      </c>
      <c r="C74" s="183" t="s">
        <v>300</v>
      </c>
      <c r="D74" s="192">
        <v>2000000</v>
      </c>
      <c r="E74" s="192">
        <f>'Realisasi Mei'!G74</f>
        <v>0</v>
      </c>
      <c r="F74" s="192">
        <v>0</v>
      </c>
      <c r="G74" s="192">
        <f>E74+F74</f>
        <v>0</v>
      </c>
      <c r="H74" s="24">
        <f t="shared" si="22"/>
        <v>0</v>
      </c>
      <c r="I74" s="219"/>
      <c r="J74" s="175"/>
    </row>
    <row r="75" spans="1:10" s="176" customFormat="1" x14ac:dyDescent="0.25">
      <c r="A75" s="188"/>
      <c r="B75" s="178"/>
      <c r="C75" s="183"/>
      <c r="D75" s="192"/>
      <c r="E75" s="192"/>
      <c r="F75" s="192"/>
      <c r="G75" s="191"/>
      <c r="H75" s="236"/>
      <c r="I75" s="220"/>
      <c r="J75" s="175"/>
    </row>
    <row r="76" spans="1:10" s="176" customFormat="1" x14ac:dyDescent="0.25">
      <c r="A76" s="168" t="s">
        <v>62</v>
      </c>
      <c r="B76" s="22" t="s">
        <v>301</v>
      </c>
      <c r="C76" s="185" t="s">
        <v>63</v>
      </c>
      <c r="D76" s="191">
        <f t="shared" ref="D76:G78" si="32">D77</f>
        <v>25000000</v>
      </c>
      <c r="E76" s="191">
        <f t="shared" si="32"/>
        <v>11287000</v>
      </c>
      <c r="F76" s="191">
        <f t="shared" si="32"/>
        <v>2000000</v>
      </c>
      <c r="G76" s="191">
        <f t="shared" si="32"/>
        <v>13287000</v>
      </c>
      <c r="H76" s="236">
        <f>G76/D76</f>
        <v>0.53147999999999995</v>
      </c>
      <c r="I76" s="209"/>
      <c r="J76" s="175"/>
    </row>
    <row r="77" spans="1:10" s="187" customFormat="1" x14ac:dyDescent="0.25">
      <c r="A77" s="169"/>
      <c r="B77" s="170" t="s">
        <v>285</v>
      </c>
      <c r="C77" s="185" t="s">
        <v>444</v>
      </c>
      <c r="D77" s="191">
        <f t="shared" si="32"/>
        <v>25000000</v>
      </c>
      <c r="E77" s="191">
        <f t="shared" si="32"/>
        <v>11287000</v>
      </c>
      <c r="F77" s="191">
        <f t="shared" si="32"/>
        <v>2000000</v>
      </c>
      <c r="G77" s="191">
        <f t="shared" si="32"/>
        <v>13287000</v>
      </c>
      <c r="H77" s="236">
        <f>G77/D77</f>
        <v>0.53147999999999995</v>
      </c>
      <c r="I77" s="216"/>
      <c r="J77" s="186"/>
    </row>
    <row r="78" spans="1:10" s="187" customFormat="1" x14ac:dyDescent="0.25">
      <c r="A78" s="169"/>
      <c r="B78" s="170" t="s">
        <v>302</v>
      </c>
      <c r="C78" s="185" t="s">
        <v>64</v>
      </c>
      <c r="D78" s="191">
        <f>D79</f>
        <v>25000000</v>
      </c>
      <c r="E78" s="191">
        <f t="shared" si="32"/>
        <v>11287000</v>
      </c>
      <c r="F78" s="191">
        <f t="shared" si="32"/>
        <v>2000000</v>
      </c>
      <c r="G78" s="191">
        <f t="shared" si="32"/>
        <v>13287000</v>
      </c>
      <c r="H78" s="236">
        <f>G78/D78</f>
        <v>0.53147999999999995</v>
      </c>
      <c r="I78" s="216"/>
      <c r="J78" s="186"/>
    </row>
    <row r="79" spans="1:10" s="176" customFormat="1" x14ac:dyDescent="0.25">
      <c r="A79" s="27"/>
      <c r="B79" s="178" t="s">
        <v>508</v>
      </c>
      <c r="C79" s="28" t="s">
        <v>509</v>
      </c>
      <c r="D79" s="192">
        <v>25000000</v>
      </c>
      <c r="E79" s="192">
        <f>'Realisasi Mei'!G79</f>
        <v>11287000</v>
      </c>
      <c r="F79" s="192">
        <f>'[5]2022'!$G$41</f>
        <v>2000000</v>
      </c>
      <c r="G79" s="192">
        <f>E79+F79</f>
        <v>13287000</v>
      </c>
      <c r="H79" s="24">
        <f>G79/D79</f>
        <v>0.53147999999999995</v>
      </c>
      <c r="I79" s="207" t="s">
        <v>65</v>
      </c>
      <c r="J79" s="175"/>
    </row>
    <row r="80" spans="1:10" s="176" customFormat="1" x14ac:dyDescent="0.25">
      <c r="A80" s="27"/>
      <c r="B80" s="178"/>
      <c r="C80" s="171"/>
      <c r="D80" s="192"/>
      <c r="E80" s="192"/>
      <c r="F80" s="192"/>
      <c r="G80" s="191"/>
      <c r="H80" s="236"/>
      <c r="I80" s="207"/>
      <c r="J80" s="175"/>
    </row>
    <row r="81" spans="1:10" s="176" customFormat="1" x14ac:dyDescent="0.25">
      <c r="A81" s="168" t="s">
        <v>66</v>
      </c>
      <c r="B81" s="22" t="s">
        <v>303</v>
      </c>
      <c r="C81" s="185" t="s">
        <v>67</v>
      </c>
      <c r="D81" s="196">
        <f>SUM(D82)</f>
        <v>9950000</v>
      </c>
      <c r="E81" s="196"/>
      <c r="F81" s="196">
        <f t="shared" ref="F81:G81" si="33">SUM(F82)</f>
        <v>0</v>
      </c>
      <c r="G81" s="196">
        <f t="shared" si="33"/>
        <v>0</v>
      </c>
      <c r="H81" s="236">
        <f t="shared" ref="H81:H86" si="34">G81/D81</f>
        <v>0</v>
      </c>
      <c r="I81" s="209"/>
      <c r="J81" s="175"/>
    </row>
    <row r="82" spans="1:10" s="176" customFormat="1" x14ac:dyDescent="0.25">
      <c r="A82" s="27"/>
      <c r="B82" s="170" t="s">
        <v>298</v>
      </c>
      <c r="C82" s="185" t="s">
        <v>60</v>
      </c>
      <c r="D82" s="191">
        <f>D83+D85</f>
        <v>9950000</v>
      </c>
      <c r="E82" s="191"/>
      <c r="F82" s="191">
        <f t="shared" ref="F82:G82" si="35">F83+F85</f>
        <v>0</v>
      </c>
      <c r="G82" s="191">
        <f t="shared" si="35"/>
        <v>0</v>
      </c>
      <c r="H82" s="236">
        <f t="shared" si="34"/>
        <v>0</v>
      </c>
      <c r="I82" s="207"/>
      <c r="J82" s="175"/>
    </row>
    <row r="83" spans="1:10" s="187" customFormat="1" x14ac:dyDescent="0.25">
      <c r="A83" s="264"/>
      <c r="B83" s="170" t="s">
        <v>304</v>
      </c>
      <c r="C83" s="185" t="s">
        <v>68</v>
      </c>
      <c r="D83" s="191">
        <f>D84</f>
        <v>0</v>
      </c>
      <c r="E83" s="191"/>
      <c r="F83" s="191">
        <f t="shared" ref="F83:G83" si="36">F84</f>
        <v>0</v>
      </c>
      <c r="G83" s="191">
        <f t="shared" si="36"/>
        <v>0</v>
      </c>
      <c r="H83" s="236" t="e">
        <f t="shared" si="34"/>
        <v>#DIV/0!</v>
      </c>
      <c r="I83" s="216" t="s">
        <v>69</v>
      </c>
      <c r="J83" s="186"/>
    </row>
    <row r="84" spans="1:10" s="176" customFormat="1" x14ac:dyDescent="0.25">
      <c r="A84" s="27"/>
      <c r="B84" s="178" t="s">
        <v>510</v>
      </c>
      <c r="C84" s="183" t="s">
        <v>68</v>
      </c>
      <c r="D84" s="192">
        <v>0</v>
      </c>
      <c r="E84" s="192">
        <f>'Realisasi Mei'!G84</f>
        <v>0</v>
      </c>
      <c r="F84" s="192"/>
      <c r="G84" s="192">
        <f>E84+F84</f>
        <v>0</v>
      </c>
      <c r="H84" s="24" t="e">
        <f t="shared" si="34"/>
        <v>#DIV/0!</v>
      </c>
      <c r="I84" s="207" t="s">
        <v>69</v>
      </c>
      <c r="J84" s="175"/>
    </row>
    <row r="85" spans="1:10" s="187" customFormat="1" x14ac:dyDescent="0.25">
      <c r="A85" s="264"/>
      <c r="B85" s="170" t="s">
        <v>305</v>
      </c>
      <c r="C85" s="185" t="s">
        <v>70</v>
      </c>
      <c r="D85" s="191">
        <f>D86</f>
        <v>9950000</v>
      </c>
      <c r="E85" s="191"/>
      <c r="F85" s="191">
        <f t="shared" ref="F85:G85" si="37">F86</f>
        <v>0</v>
      </c>
      <c r="G85" s="191">
        <f t="shared" si="37"/>
        <v>0</v>
      </c>
      <c r="H85" s="236">
        <f t="shared" si="34"/>
        <v>0</v>
      </c>
      <c r="I85" s="216" t="s">
        <v>71</v>
      </c>
      <c r="J85" s="186"/>
    </row>
    <row r="86" spans="1:10" s="176" customFormat="1" x14ac:dyDescent="0.25">
      <c r="A86" s="27"/>
      <c r="B86" s="178" t="s">
        <v>511</v>
      </c>
      <c r="C86" s="183" t="s">
        <v>70</v>
      </c>
      <c r="D86" s="192">
        <v>9950000</v>
      </c>
      <c r="E86" s="192">
        <f>'Realisasi Mei'!G86</f>
        <v>0</v>
      </c>
      <c r="F86" s="192"/>
      <c r="G86" s="192">
        <f>E86+F86</f>
        <v>0</v>
      </c>
      <c r="H86" s="24">
        <f t="shared" si="34"/>
        <v>0</v>
      </c>
      <c r="I86" s="207" t="s">
        <v>71</v>
      </c>
      <c r="J86" s="175"/>
    </row>
    <row r="87" spans="1:10" s="176" customFormat="1" x14ac:dyDescent="0.25">
      <c r="A87" s="27"/>
      <c r="B87" s="178"/>
      <c r="C87" s="183"/>
      <c r="D87" s="192"/>
      <c r="E87" s="192"/>
      <c r="F87" s="192"/>
      <c r="G87" s="191"/>
      <c r="H87" s="236"/>
      <c r="I87" s="207"/>
      <c r="J87" s="175"/>
    </row>
    <row r="88" spans="1:10" s="176" customFormat="1" ht="24" customHeight="1" x14ac:dyDescent="0.25">
      <c r="A88" s="29" t="s">
        <v>73</v>
      </c>
      <c r="B88" s="22" t="s">
        <v>307</v>
      </c>
      <c r="C88" s="185" t="s">
        <v>82</v>
      </c>
      <c r="D88" s="196">
        <f>D89</f>
        <v>25440000</v>
      </c>
      <c r="E88" s="196">
        <f t="shared" ref="E88:G88" si="38">E89</f>
        <v>9000000</v>
      </c>
      <c r="F88" s="196">
        <f t="shared" si="38"/>
        <v>1700000</v>
      </c>
      <c r="G88" s="196">
        <f t="shared" si="38"/>
        <v>10700000</v>
      </c>
      <c r="H88" s="236">
        <f>G88/D88</f>
        <v>0.42059748427672955</v>
      </c>
      <c r="I88" s="209"/>
      <c r="J88" s="175"/>
    </row>
    <row r="89" spans="1:10" s="187" customFormat="1" x14ac:dyDescent="0.25">
      <c r="A89" s="169"/>
      <c r="B89" s="170" t="s">
        <v>285</v>
      </c>
      <c r="C89" s="185" t="s">
        <v>444</v>
      </c>
      <c r="D89" s="191">
        <f>D91</f>
        <v>25440000</v>
      </c>
      <c r="E89" s="191">
        <f t="shared" ref="E89:F89" si="39">E91</f>
        <v>9000000</v>
      </c>
      <c r="F89" s="191">
        <f t="shared" si="39"/>
        <v>1700000</v>
      </c>
      <c r="G89" s="191">
        <f>G91</f>
        <v>10700000</v>
      </c>
      <c r="H89" s="236">
        <f>G89/D89</f>
        <v>0.42059748427672955</v>
      </c>
      <c r="I89" s="207" t="s">
        <v>83</v>
      </c>
      <c r="J89" s="186"/>
    </row>
    <row r="90" spans="1:10" s="187" customFormat="1" x14ac:dyDescent="0.25">
      <c r="A90" s="169"/>
      <c r="B90" s="170" t="s">
        <v>308</v>
      </c>
      <c r="C90" s="172" t="s">
        <v>309</v>
      </c>
      <c r="D90" s="191">
        <f>D91</f>
        <v>25440000</v>
      </c>
      <c r="E90" s="191">
        <f t="shared" ref="E90:G90" si="40">E91</f>
        <v>9000000</v>
      </c>
      <c r="F90" s="191">
        <f t="shared" si="40"/>
        <v>1700000</v>
      </c>
      <c r="G90" s="191">
        <f t="shared" si="40"/>
        <v>10700000</v>
      </c>
      <c r="H90" s="236">
        <f>G90/D90</f>
        <v>0.42059748427672955</v>
      </c>
      <c r="I90" s="216"/>
      <c r="J90" s="186"/>
    </row>
    <row r="91" spans="1:10" s="176" customFormat="1" x14ac:dyDescent="0.25">
      <c r="A91" s="188"/>
      <c r="B91" s="178" t="s">
        <v>512</v>
      </c>
      <c r="C91" s="171" t="s">
        <v>309</v>
      </c>
      <c r="D91" s="192">
        <v>25440000</v>
      </c>
      <c r="E91" s="192">
        <f>'Realisasi Mei'!G91</f>
        <v>9000000</v>
      </c>
      <c r="F91" s="192">
        <v>1700000</v>
      </c>
      <c r="G91" s="192">
        <f>E91+F91</f>
        <v>10700000</v>
      </c>
      <c r="H91" s="24">
        <f>G91/D91</f>
        <v>0.42059748427672955</v>
      </c>
      <c r="I91" s="207"/>
      <c r="J91" s="175"/>
    </row>
    <row r="92" spans="1:10" s="176" customFormat="1" x14ac:dyDescent="0.25">
      <c r="A92" s="169"/>
      <c r="B92" s="22"/>
      <c r="C92" s="25"/>
      <c r="D92" s="192"/>
      <c r="E92" s="192"/>
      <c r="F92" s="192"/>
      <c r="G92" s="191"/>
      <c r="H92" s="236"/>
      <c r="I92" s="221"/>
      <c r="J92" s="175"/>
    </row>
    <row r="93" spans="1:10" s="176" customFormat="1" ht="24.75" customHeight="1" x14ac:dyDescent="0.25">
      <c r="A93" s="29" t="s">
        <v>74</v>
      </c>
      <c r="B93" s="22" t="s">
        <v>310</v>
      </c>
      <c r="C93" s="185" t="s">
        <v>682</v>
      </c>
      <c r="D93" s="196">
        <f>D94</f>
        <v>1000000000</v>
      </c>
      <c r="E93" s="196"/>
      <c r="F93" s="196">
        <f t="shared" ref="F93:G95" si="41">F94</f>
        <v>0</v>
      </c>
      <c r="G93" s="196">
        <f t="shared" si="41"/>
        <v>0</v>
      </c>
      <c r="H93" s="236">
        <f>G93/D93</f>
        <v>0</v>
      </c>
      <c r="I93" s="207"/>
      <c r="J93" s="175"/>
    </row>
    <row r="94" spans="1:10" s="187" customFormat="1" x14ac:dyDescent="0.25">
      <c r="A94" s="169"/>
      <c r="B94" s="170" t="s">
        <v>288</v>
      </c>
      <c r="C94" s="185" t="s">
        <v>55</v>
      </c>
      <c r="D94" s="191">
        <f>D95</f>
        <v>1000000000</v>
      </c>
      <c r="E94" s="191"/>
      <c r="F94" s="191">
        <f t="shared" si="41"/>
        <v>0</v>
      </c>
      <c r="G94" s="191">
        <f t="shared" si="41"/>
        <v>0</v>
      </c>
      <c r="H94" s="236">
        <f>G94/D94</f>
        <v>0</v>
      </c>
      <c r="I94" s="216" t="s">
        <v>85</v>
      </c>
      <c r="J94" s="186"/>
    </row>
    <row r="95" spans="1:10" s="187" customFormat="1" x14ac:dyDescent="0.25">
      <c r="A95" s="169"/>
      <c r="B95" s="170" t="s">
        <v>311</v>
      </c>
      <c r="C95" s="185" t="s">
        <v>312</v>
      </c>
      <c r="D95" s="191">
        <f>D96</f>
        <v>1000000000</v>
      </c>
      <c r="E95" s="191"/>
      <c r="F95" s="191">
        <f t="shared" si="41"/>
        <v>0</v>
      </c>
      <c r="G95" s="191">
        <f t="shared" si="41"/>
        <v>0</v>
      </c>
      <c r="H95" s="236">
        <f>G95/D95</f>
        <v>0</v>
      </c>
      <c r="I95" s="216"/>
      <c r="J95" s="186"/>
    </row>
    <row r="96" spans="1:10" s="176" customFormat="1" x14ac:dyDescent="0.25">
      <c r="A96" s="188"/>
      <c r="B96" s="178" t="s">
        <v>513</v>
      </c>
      <c r="C96" s="183" t="s">
        <v>312</v>
      </c>
      <c r="D96" s="192">
        <v>1000000000</v>
      </c>
      <c r="E96" s="192">
        <f>'Realisasi Mei'!G96</f>
        <v>0</v>
      </c>
      <c r="F96" s="192">
        <f>[7]RKP!$G$37</f>
        <v>0</v>
      </c>
      <c r="G96" s="192">
        <f>E96+F96</f>
        <v>0</v>
      </c>
      <c r="H96" s="24">
        <f>G96/D96</f>
        <v>0</v>
      </c>
      <c r="I96" s="207"/>
      <c r="J96" s="175"/>
    </row>
    <row r="97" spans="1:11" s="176" customFormat="1" x14ac:dyDescent="0.25">
      <c r="A97" s="188"/>
      <c r="B97" s="178"/>
      <c r="C97" s="183"/>
      <c r="D97" s="192"/>
      <c r="E97" s="192"/>
      <c r="F97" s="192"/>
      <c r="G97" s="191"/>
      <c r="H97" s="236"/>
      <c r="I97" s="207"/>
      <c r="J97" s="175"/>
    </row>
    <row r="98" spans="1:11" s="176" customFormat="1" ht="41.25" customHeight="1" x14ac:dyDescent="0.25">
      <c r="A98" s="168" t="s">
        <v>86</v>
      </c>
      <c r="B98" s="189" t="s">
        <v>313</v>
      </c>
      <c r="C98" s="30" t="s">
        <v>87</v>
      </c>
      <c r="D98" s="196">
        <f>SUM(D99)</f>
        <v>1663748323.6700001</v>
      </c>
      <c r="E98" s="196">
        <f t="shared" ref="E98:G98" si="42">SUM(E99)</f>
        <v>1079761191</v>
      </c>
      <c r="F98" s="196">
        <f t="shared" si="42"/>
        <v>0</v>
      </c>
      <c r="G98" s="196">
        <f t="shared" si="42"/>
        <v>1079761191</v>
      </c>
      <c r="H98" s="236">
        <f>G98/D98</f>
        <v>0.64899310529022514</v>
      </c>
      <c r="I98" s="209"/>
      <c r="J98" s="175"/>
    </row>
    <row r="99" spans="1:11" s="176" customFormat="1" ht="32.25" customHeight="1" x14ac:dyDescent="0.25">
      <c r="A99" s="188"/>
      <c r="B99" s="189" t="s">
        <v>314</v>
      </c>
      <c r="C99" s="30" t="s">
        <v>88</v>
      </c>
      <c r="D99" s="191">
        <f>SUM(D100:D102)</f>
        <v>1663748323.6700001</v>
      </c>
      <c r="E99" s="191">
        <f t="shared" ref="E99:G99" si="43">SUM(E100:E102)</f>
        <v>1079761191</v>
      </c>
      <c r="F99" s="191">
        <f t="shared" si="43"/>
        <v>0</v>
      </c>
      <c r="G99" s="191">
        <f t="shared" si="43"/>
        <v>1079761191</v>
      </c>
      <c r="H99" s="236">
        <f>G99/D99</f>
        <v>0.64899310529022514</v>
      </c>
      <c r="I99" s="209"/>
      <c r="J99" s="175"/>
    </row>
    <row r="100" spans="1:11" s="176" customFormat="1" x14ac:dyDescent="0.25">
      <c r="A100" s="184" t="s">
        <v>89</v>
      </c>
      <c r="B100" s="190" t="s">
        <v>314</v>
      </c>
      <c r="C100" s="183" t="s">
        <v>90</v>
      </c>
      <c r="D100" s="192">
        <v>895097347.66999996</v>
      </c>
      <c r="E100" s="192">
        <f>'Realisasi Mei'!G100</f>
        <v>1079761191</v>
      </c>
      <c r="F100" s="192"/>
      <c r="G100" s="192">
        <f>E100+F100</f>
        <v>1079761191</v>
      </c>
      <c r="H100" s="24">
        <f>G100/D100</f>
        <v>1.2063058770207427</v>
      </c>
      <c r="I100" s="207"/>
      <c r="J100" s="175"/>
    </row>
    <row r="101" spans="1:11" s="176" customFormat="1" x14ac:dyDescent="0.25">
      <c r="A101" s="184" t="s">
        <v>91</v>
      </c>
      <c r="B101" s="190" t="s">
        <v>314</v>
      </c>
      <c r="C101" s="183" t="s">
        <v>92</v>
      </c>
      <c r="D101" s="192">
        <v>455948308</v>
      </c>
      <c r="E101" s="192">
        <f>'Realisasi Mei'!G101</f>
        <v>0</v>
      </c>
      <c r="F101" s="192"/>
      <c r="G101" s="192">
        <f t="shared" ref="G101:G102" si="44">E101+F101</f>
        <v>0</v>
      </c>
      <c r="H101" s="24">
        <f>G101/D101</f>
        <v>0</v>
      </c>
      <c r="I101" s="207" t="s">
        <v>93</v>
      </c>
      <c r="J101" s="175"/>
    </row>
    <row r="102" spans="1:11" s="176" customFormat="1" x14ac:dyDescent="0.25">
      <c r="A102" s="184" t="s">
        <v>72</v>
      </c>
      <c r="B102" s="190" t="s">
        <v>314</v>
      </c>
      <c r="C102" s="183" t="s">
        <v>94</v>
      </c>
      <c r="D102" s="192">
        <v>312702668</v>
      </c>
      <c r="E102" s="192">
        <f>'Realisasi Mei'!G102</f>
        <v>0</v>
      </c>
      <c r="F102" s="192"/>
      <c r="G102" s="192">
        <f t="shared" si="44"/>
        <v>0</v>
      </c>
      <c r="H102" s="24">
        <f>G102/D102</f>
        <v>0</v>
      </c>
      <c r="I102" s="207"/>
      <c r="J102" s="175"/>
    </row>
    <row r="103" spans="1:11" s="176" customFormat="1" x14ac:dyDescent="0.25">
      <c r="A103" s="188"/>
      <c r="B103" s="178"/>
      <c r="C103" s="183"/>
      <c r="D103" s="192"/>
      <c r="E103" s="192"/>
      <c r="F103" s="192"/>
      <c r="G103" s="191"/>
      <c r="H103" s="236"/>
      <c r="I103" s="207"/>
      <c r="J103" s="175"/>
    </row>
    <row r="104" spans="1:11" s="176" customFormat="1" ht="21" customHeight="1" x14ac:dyDescent="0.25">
      <c r="A104" s="169" t="s">
        <v>95</v>
      </c>
      <c r="B104" s="189" t="s">
        <v>315</v>
      </c>
      <c r="C104" s="185" t="s">
        <v>96</v>
      </c>
      <c r="D104" s="191">
        <f>SUM(D106+D117+D121+D125+D138+D140+D153+D155+D162+D202+D216+D222+D111+D114+D134)</f>
        <v>146329185066</v>
      </c>
      <c r="E104" s="191">
        <f>SUM(E106+E117+E121+E125+E138+E140+E153+E155+E162+E202+E216+E222+E111+E114+E134)</f>
        <v>98855584005.190002</v>
      </c>
      <c r="F104" s="191">
        <f>SUM(F106+F117+F121+F125+F138+F140+F153+F155+F162+F202+F216+F222+F111+F114+F134)</f>
        <v>14970320663.240002</v>
      </c>
      <c r="G104" s="191">
        <f>SUM(G106+G117+G121+G125+G138+G140+G153+G155+G162+G202+G216+G222+G111+G114+G134)</f>
        <v>113825904668.42999</v>
      </c>
      <c r="H104" s="236">
        <f>G104/D104</f>
        <v>0.77787561392548044</v>
      </c>
      <c r="I104" s="209"/>
      <c r="J104" s="175"/>
      <c r="K104" s="270"/>
    </row>
    <row r="105" spans="1:11" s="176" customFormat="1" x14ac:dyDescent="0.25">
      <c r="A105" s="169"/>
      <c r="B105" s="31"/>
      <c r="C105" s="32"/>
      <c r="D105" s="192"/>
      <c r="E105" s="192"/>
      <c r="F105" s="192"/>
      <c r="G105" s="191"/>
      <c r="H105" s="236"/>
      <c r="I105" s="209"/>
      <c r="J105" s="175"/>
    </row>
    <row r="106" spans="1:11" s="176" customFormat="1" x14ac:dyDescent="0.25">
      <c r="A106" s="168" t="s">
        <v>19</v>
      </c>
      <c r="B106" s="189" t="s">
        <v>587</v>
      </c>
      <c r="C106" s="180" t="s">
        <v>589</v>
      </c>
      <c r="D106" s="191">
        <f>D108</f>
        <v>3029424600</v>
      </c>
      <c r="E106" s="191"/>
      <c r="F106" s="191">
        <f t="shared" ref="F106:G106" si="45">F108</f>
        <v>0</v>
      </c>
      <c r="G106" s="191">
        <f t="shared" si="45"/>
        <v>0</v>
      </c>
      <c r="H106" s="236">
        <f>G106/D106</f>
        <v>0</v>
      </c>
      <c r="I106" s="209"/>
      <c r="J106" s="175"/>
    </row>
    <row r="107" spans="1:11" s="176" customFormat="1" x14ac:dyDescent="0.25">
      <c r="A107" s="168"/>
      <c r="B107" s="189" t="s">
        <v>588</v>
      </c>
      <c r="C107" s="180" t="s">
        <v>589</v>
      </c>
      <c r="D107" s="191"/>
      <c r="E107" s="191"/>
      <c r="F107" s="192"/>
      <c r="G107" s="191"/>
      <c r="H107" s="236"/>
      <c r="I107" s="209"/>
      <c r="J107" s="175"/>
    </row>
    <row r="108" spans="1:11" s="176" customFormat="1" x14ac:dyDescent="0.25">
      <c r="A108" s="168"/>
      <c r="B108" s="189" t="s">
        <v>584</v>
      </c>
      <c r="C108" s="180" t="s">
        <v>585</v>
      </c>
      <c r="D108" s="191">
        <f>D109</f>
        <v>3029424600</v>
      </c>
      <c r="E108" s="191"/>
      <c r="F108" s="191">
        <f t="shared" ref="F108:G108" si="46">F109</f>
        <v>0</v>
      </c>
      <c r="G108" s="191">
        <f t="shared" si="46"/>
        <v>0</v>
      </c>
      <c r="H108" s="236">
        <f>G108/D108</f>
        <v>0</v>
      </c>
      <c r="I108" s="209"/>
      <c r="J108" s="175"/>
    </row>
    <row r="109" spans="1:11" s="176" customFormat="1" x14ac:dyDescent="0.25">
      <c r="A109" s="168"/>
      <c r="B109" s="190"/>
      <c r="C109" s="33" t="s">
        <v>586</v>
      </c>
      <c r="D109" s="192">
        <v>3029424600</v>
      </c>
      <c r="E109" s="192">
        <f>'Realisasi Mei'!G109</f>
        <v>0</v>
      </c>
      <c r="F109" s="192"/>
      <c r="G109" s="192">
        <f>E109+F109</f>
        <v>0</v>
      </c>
      <c r="H109" s="24">
        <f>G109/D109</f>
        <v>0</v>
      </c>
      <c r="I109" s="209"/>
      <c r="J109" s="175"/>
    </row>
    <row r="110" spans="1:11" s="176" customFormat="1" x14ac:dyDescent="0.25">
      <c r="A110" s="169"/>
      <c r="B110" s="31"/>
      <c r="C110" s="32"/>
      <c r="D110" s="192"/>
      <c r="E110" s="192"/>
      <c r="F110" s="192"/>
      <c r="G110" s="191"/>
      <c r="H110" s="236"/>
      <c r="I110" s="209"/>
      <c r="J110" s="175"/>
    </row>
    <row r="111" spans="1:11" s="176" customFormat="1" x14ac:dyDescent="0.25">
      <c r="A111" s="168"/>
      <c r="B111" s="190" t="s">
        <v>590</v>
      </c>
      <c r="C111" s="172" t="s">
        <v>581</v>
      </c>
      <c r="D111" s="191">
        <f>SUM(D112)</f>
        <v>0</v>
      </c>
      <c r="E111" s="191"/>
      <c r="F111" s="191">
        <f t="shared" ref="F111:G111" si="47">SUM(F112)</f>
        <v>0</v>
      </c>
      <c r="G111" s="191">
        <f t="shared" si="47"/>
        <v>0</v>
      </c>
      <c r="H111" s="236"/>
      <c r="I111" s="207"/>
      <c r="J111" s="175"/>
    </row>
    <row r="112" spans="1:11" s="176" customFormat="1" x14ac:dyDescent="0.25">
      <c r="A112" s="168"/>
      <c r="B112" s="189"/>
      <c r="C112" s="193" t="s">
        <v>622</v>
      </c>
      <c r="D112" s="192">
        <v>0</v>
      </c>
      <c r="E112" s="192">
        <f>'Realisasi Mei'!G112</f>
        <v>0</v>
      </c>
      <c r="F112" s="192">
        <v>0</v>
      </c>
      <c r="G112" s="192">
        <f>E112+F112</f>
        <v>0</v>
      </c>
      <c r="H112" s="236"/>
      <c r="I112" s="207"/>
      <c r="J112" s="175"/>
    </row>
    <row r="113" spans="1:10" s="176" customFormat="1" x14ac:dyDescent="0.25">
      <c r="A113" s="168"/>
      <c r="B113" s="189"/>
      <c r="C113" s="193"/>
      <c r="D113" s="192"/>
      <c r="E113" s="192"/>
      <c r="F113" s="192"/>
      <c r="G113" s="192"/>
      <c r="H113" s="236"/>
      <c r="I113" s="207"/>
      <c r="J113" s="175"/>
    </row>
    <row r="114" spans="1:10" s="176" customFormat="1" x14ac:dyDescent="0.25">
      <c r="A114" s="169"/>
      <c r="B114" s="190" t="s">
        <v>318</v>
      </c>
      <c r="C114" s="172" t="s">
        <v>319</v>
      </c>
      <c r="D114" s="191">
        <f>SUM(D115:D115)</f>
        <v>186000000</v>
      </c>
      <c r="E114" s="191">
        <f>SUM(E115:E115)</f>
        <v>631197335</v>
      </c>
      <c r="F114" s="191">
        <f>SUM(F115:F115)</f>
        <v>20000000</v>
      </c>
      <c r="G114" s="191">
        <f>SUM(G115:G115)</f>
        <v>651197335</v>
      </c>
      <c r="H114" s="236">
        <f>G114/D114</f>
        <v>3.5010609408602149</v>
      </c>
      <c r="I114" s="209"/>
      <c r="J114" s="175"/>
    </row>
    <row r="115" spans="1:10" s="176" customFormat="1" x14ac:dyDescent="0.25">
      <c r="A115" s="169"/>
      <c r="B115" s="190"/>
      <c r="C115" s="193" t="s">
        <v>670</v>
      </c>
      <c r="D115" s="192">
        <v>186000000</v>
      </c>
      <c r="E115" s="192">
        <f>'Realisasi Mei'!G115</f>
        <v>631197335</v>
      </c>
      <c r="F115" s="192">
        <v>20000000</v>
      </c>
      <c r="G115" s="192">
        <f t="shared" ref="G115" si="48">E115+F115</f>
        <v>651197335</v>
      </c>
      <c r="H115" s="24">
        <f t="shared" ref="H115" si="49">G115/D115</f>
        <v>3.5010609408602149</v>
      </c>
      <c r="I115" s="209"/>
      <c r="J115" s="175"/>
    </row>
    <row r="116" spans="1:10" s="176" customFormat="1" x14ac:dyDescent="0.25">
      <c r="A116" s="169"/>
      <c r="B116" s="190"/>
      <c r="C116" s="193"/>
      <c r="D116" s="192"/>
      <c r="E116" s="192"/>
      <c r="F116" s="192"/>
      <c r="G116" s="191"/>
      <c r="H116" s="236"/>
      <c r="I116" s="209"/>
      <c r="J116" s="175"/>
    </row>
    <row r="117" spans="1:10" s="176" customFormat="1" x14ac:dyDescent="0.25">
      <c r="A117" s="168" t="s">
        <v>46</v>
      </c>
      <c r="B117" s="189" t="s">
        <v>342</v>
      </c>
      <c r="C117" s="185" t="s">
        <v>343</v>
      </c>
      <c r="D117" s="191">
        <f>D118</f>
        <v>1000000000</v>
      </c>
      <c r="E117" s="191"/>
      <c r="F117" s="191">
        <f t="shared" ref="F117:G118" si="50">F118</f>
        <v>0</v>
      </c>
      <c r="G117" s="191">
        <f t="shared" si="50"/>
        <v>0</v>
      </c>
      <c r="H117" s="236">
        <f>G117/D117</f>
        <v>0</v>
      </c>
      <c r="I117" s="209"/>
      <c r="J117" s="175"/>
    </row>
    <row r="118" spans="1:10" s="187" customFormat="1" x14ac:dyDescent="0.25">
      <c r="A118" s="169"/>
      <c r="B118" s="189" t="s">
        <v>344</v>
      </c>
      <c r="C118" s="185" t="s">
        <v>349</v>
      </c>
      <c r="D118" s="191">
        <f>D119</f>
        <v>1000000000</v>
      </c>
      <c r="E118" s="191"/>
      <c r="F118" s="191">
        <f t="shared" si="50"/>
        <v>0</v>
      </c>
      <c r="G118" s="191">
        <f t="shared" si="50"/>
        <v>0</v>
      </c>
      <c r="H118" s="236">
        <f>G118/D118</f>
        <v>0</v>
      </c>
      <c r="I118" s="210"/>
      <c r="J118" s="186"/>
    </row>
    <row r="119" spans="1:10" s="176" customFormat="1" x14ac:dyDescent="0.25">
      <c r="A119" s="169"/>
      <c r="B119" s="190"/>
      <c r="C119" s="171" t="s">
        <v>162</v>
      </c>
      <c r="D119" s="192">
        <v>1000000000</v>
      </c>
      <c r="E119" s="192">
        <f>'Realisasi Mei'!G119</f>
        <v>0</v>
      </c>
      <c r="F119" s="192"/>
      <c r="G119" s="192">
        <f>E119+F119</f>
        <v>0</v>
      </c>
      <c r="H119" s="24">
        <f>G119/D119</f>
        <v>0</v>
      </c>
      <c r="I119" s="209"/>
      <c r="J119" s="175"/>
    </row>
    <row r="120" spans="1:10" s="176" customFormat="1" x14ac:dyDescent="0.25">
      <c r="A120" s="169"/>
      <c r="B120" s="190"/>
      <c r="C120" s="193"/>
      <c r="D120" s="192"/>
      <c r="E120" s="192"/>
      <c r="F120" s="192"/>
      <c r="G120" s="191"/>
      <c r="H120" s="236"/>
      <c r="I120" s="209"/>
      <c r="J120" s="175"/>
    </row>
    <row r="121" spans="1:10" s="176" customFormat="1" x14ac:dyDescent="0.25">
      <c r="A121" s="168" t="s">
        <v>8</v>
      </c>
      <c r="B121" s="189" t="s">
        <v>320</v>
      </c>
      <c r="C121" s="185" t="s">
        <v>97</v>
      </c>
      <c r="D121" s="196">
        <f>SUM(D122:D123)</f>
        <v>2750000000</v>
      </c>
      <c r="E121" s="196">
        <f t="shared" ref="E121:G121" si="51">SUM(E122:E123)</f>
        <v>1226345308.0599999</v>
      </c>
      <c r="F121" s="196">
        <f t="shared" si="51"/>
        <v>252516028.06999999</v>
      </c>
      <c r="G121" s="196">
        <f t="shared" si="51"/>
        <v>1478861336.1299999</v>
      </c>
      <c r="H121" s="236">
        <f>G121/D121</f>
        <v>0.53776775859272719</v>
      </c>
      <c r="I121" s="207"/>
      <c r="J121" s="175"/>
    </row>
    <row r="122" spans="1:10" s="176" customFormat="1" x14ac:dyDescent="0.25">
      <c r="A122" s="188"/>
      <c r="B122" s="190" t="s">
        <v>514</v>
      </c>
      <c r="C122" s="183" t="s">
        <v>515</v>
      </c>
      <c r="D122" s="192">
        <v>2500000000</v>
      </c>
      <c r="E122" s="192">
        <f>'Realisasi Mei'!G122</f>
        <v>1196638894.0599999</v>
      </c>
      <c r="F122" s="192">
        <v>243369839.06999999</v>
      </c>
      <c r="G122" s="192">
        <f>E122+F122</f>
        <v>1440008733.1299999</v>
      </c>
      <c r="H122" s="24">
        <f>G122/D122</f>
        <v>0.57600349325199995</v>
      </c>
      <c r="I122" s="207"/>
      <c r="J122" s="175"/>
    </row>
    <row r="123" spans="1:10" s="176" customFormat="1" x14ac:dyDescent="0.25">
      <c r="A123" s="188"/>
      <c r="B123" s="190" t="s">
        <v>517</v>
      </c>
      <c r="C123" s="183" t="s">
        <v>516</v>
      </c>
      <c r="D123" s="192">
        <v>250000000</v>
      </c>
      <c r="E123" s="192">
        <f>'Realisasi Mei'!G123</f>
        <v>29706414</v>
      </c>
      <c r="F123" s="192">
        <v>9146189</v>
      </c>
      <c r="G123" s="192">
        <f>E123+F123</f>
        <v>38852603</v>
      </c>
      <c r="H123" s="24">
        <f>G123/D123</f>
        <v>0.155410412</v>
      </c>
      <c r="I123" s="207"/>
      <c r="J123" s="175"/>
    </row>
    <row r="124" spans="1:10" s="176" customFormat="1" x14ac:dyDescent="0.25">
      <c r="A124" s="188"/>
      <c r="B124" s="178"/>
      <c r="C124" s="183"/>
      <c r="D124" s="192"/>
      <c r="E124" s="192"/>
      <c r="F124" s="192"/>
      <c r="G124" s="191"/>
      <c r="H124" s="236"/>
      <c r="I124" s="207"/>
      <c r="J124" s="175"/>
    </row>
    <row r="125" spans="1:10" s="176" customFormat="1" x14ac:dyDescent="0.25">
      <c r="A125" s="168" t="s">
        <v>49</v>
      </c>
      <c r="B125" s="189" t="s">
        <v>321</v>
      </c>
      <c r="C125" s="180" t="s">
        <v>98</v>
      </c>
      <c r="D125" s="196">
        <f>D126</f>
        <v>2600000000</v>
      </c>
      <c r="E125" s="196">
        <f t="shared" ref="E125:G126" si="52">E126</f>
        <v>215553922.17000002</v>
      </c>
      <c r="F125" s="196">
        <f t="shared" si="52"/>
        <v>82328743.879999995</v>
      </c>
      <c r="G125" s="196">
        <f t="shared" si="52"/>
        <v>297882666.05000001</v>
      </c>
      <c r="H125" s="236">
        <f t="shared" ref="H125:H131" si="53">G125/D125</f>
        <v>0.11457025617307692</v>
      </c>
      <c r="I125" s="207"/>
      <c r="J125" s="175"/>
    </row>
    <row r="126" spans="1:10" s="176" customFormat="1" x14ac:dyDescent="0.25">
      <c r="A126" s="168"/>
      <c r="B126" s="189" t="s">
        <v>322</v>
      </c>
      <c r="C126" s="180" t="s">
        <v>323</v>
      </c>
      <c r="D126" s="196">
        <f>D127</f>
        <v>2600000000</v>
      </c>
      <c r="E126" s="196">
        <f t="shared" si="52"/>
        <v>215553922.17000002</v>
      </c>
      <c r="F126" s="196">
        <f t="shared" si="52"/>
        <v>82328743.879999995</v>
      </c>
      <c r="G126" s="196">
        <f t="shared" si="52"/>
        <v>297882666.05000001</v>
      </c>
      <c r="H126" s="236">
        <f t="shared" si="53"/>
        <v>0.11457025617307692</v>
      </c>
      <c r="I126" s="207"/>
      <c r="J126" s="175"/>
    </row>
    <row r="127" spans="1:10" s="176" customFormat="1" x14ac:dyDescent="0.25">
      <c r="A127" s="168"/>
      <c r="B127" s="189" t="s">
        <v>518</v>
      </c>
      <c r="C127" s="180" t="s">
        <v>323</v>
      </c>
      <c r="D127" s="196">
        <f>SUM(D128:D132)</f>
        <v>2600000000</v>
      </c>
      <c r="E127" s="196">
        <f>'Realisasi Mei'!G127</f>
        <v>215553922.17000002</v>
      </c>
      <c r="F127" s="196">
        <f t="shared" ref="F127" si="54">SUM(F128:F132)</f>
        <v>82328743.879999995</v>
      </c>
      <c r="G127" s="196">
        <f>E127+F127</f>
        <v>297882666.05000001</v>
      </c>
      <c r="H127" s="236">
        <f t="shared" si="53"/>
        <v>0.11457025617307692</v>
      </c>
      <c r="I127" s="207"/>
      <c r="J127" s="175"/>
    </row>
    <row r="128" spans="1:10" s="176" customFormat="1" x14ac:dyDescent="0.25">
      <c r="A128" s="169"/>
      <c r="B128" s="177"/>
      <c r="C128" s="193" t="s">
        <v>324</v>
      </c>
      <c r="D128" s="181">
        <v>1200000000</v>
      </c>
      <c r="E128" s="181">
        <f>'Realisasi Mei'!G128</f>
        <v>79246490</v>
      </c>
      <c r="F128" s="181">
        <v>27602710</v>
      </c>
      <c r="G128" s="192">
        <f>E128+F128</f>
        <v>106849200</v>
      </c>
      <c r="H128" s="24">
        <f t="shared" si="53"/>
        <v>8.9040999999999995E-2</v>
      </c>
      <c r="I128" s="207"/>
      <c r="J128" s="175"/>
    </row>
    <row r="129" spans="1:10" s="176" customFormat="1" x14ac:dyDescent="0.25">
      <c r="A129" s="169"/>
      <c r="B129" s="177"/>
      <c r="C129" s="193" t="s">
        <v>325</v>
      </c>
      <c r="D129" s="181">
        <v>600000000</v>
      </c>
      <c r="E129" s="181">
        <f>'Realisasi Mei'!G129</f>
        <v>33933741.399999999</v>
      </c>
      <c r="F129" s="181">
        <v>10986308.359999999</v>
      </c>
      <c r="G129" s="192">
        <f t="shared" ref="G129:G132" si="55">E129+F129</f>
        <v>44920049.759999998</v>
      </c>
      <c r="H129" s="24">
        <f t="shared" si="53"/>
        <v>7.486674959999999E-2</v>
      </c>
      <c r="I129" s="207"/>
      <c r="J129" s="175"/>
    </row>
    <row r="130" spans="1:10" s="176" customFormat="1" x14ac:dyDescent="0.25">
      <c r="A130" s="169"/>
      <c r="B130" s="178"/>
      <c r="C130" s="193" t="s">
        <v>578</v>
      </c>
      <c r="D130" s="181">
        <v>0</v>
      </c>
      <c r="E130" s="181">
        <f>'Realisasi Mei'!G130</f>
        <v>9246575</v>
      </c>
      <c r="F130" s="181">
        <v>9554795</v>
      </c>
      <c r="G130" s="192">
        <f t="shared" si="55"/>
        <v>18801370</v>
      </c>
      <c r="H130" s="24" t="e">
        <f t="shared" si="53"/>
        <v>#DIV/0!</v>
      </c>
      <c r="I130" s="207"/>
      <c r="J130" s="175"/>
    </row>
    <row r="131" spans="1:10" s="176" customFormat="1" x14ac:dyDescent="0.25">
      <c r="A131" s="169"/>
      <c r="B131" s="178"/>
      <c r="C131" s="193" t="s">
        <v>326</v>
      </c>
      <c r="D131" s="181">
        <v>800000000</v>
      </c>
      <c r="E131" s="181">
        <f>'Realisasi Mei'!G131</f>
        <v>65726016</v>
      </c>
      <c r="F131" s="181">
        <f>8493163+8493163+3821905+3821905</f>
        <v>24630136</v>
      </c>
      <c r="G131" s="192">
        <f t="shared" si="55"/>
        <v>90356152</v>
      </c>
      <c r="H131" s="24">
        <f t="shared" si="53"/>
        <v>0.11294519</v>
      </c>
      <c r="I131" s="207"/>
      <c r="J131" s="175"/>
    </row>
    <row r="132" spans="1:10" s="176" customFormat="1" x14ac:dyDescent="0.25">
      <c r="A132" s="169"/>
      <c r="B132" s="178"/>
      <c r="C132" s="193" t="s">
        <v>687</v>
      </c>
      <c r="D132" s="181"/>
      <c r="E132" s="181">
        <f>'Realisasi Mei'!G132</f>
        <v>9246575.3399999999</v>
      </c>
      <c r="F132" s="181">
        <v>9554794.5199999996</v>
      </c>
      <c r="G132" s="192">
        <f t="shared" si="55"/>
        <v>18801369.859999999</v>
      </c>
      <c r="H132" s="24"/>
      <c r="I132" s="207"/>
      <c r="J132" s="175"/>
    </row>
    <row r="133" spans="1:10" s="176" customFormat="1" x14ac:dyDescent="0.25">
      <c r="A133" s="169"/>
      <c r="B133" s="170"/>
      <c r="C133" s="185"/>
      <c r="D133" s="191"/>
      <c r="E133" s="191"/>
      <c r="F133" s="191"/>
      <c r="G133" s="192"/>
      <c r="H133" s="24"/>
      <c r="I133" s="207"/>
      <c r="J133" s="175"/>
    </row>
    <row r="134" spans="1:10" s="176" customFormat="1" x14ac:dyDescent="0.25">
      <c r="A134" s="168" t="s">
        <v>53</v>
      </c>
      <c r="B134" s="189" t="s">
        <v>623</v>
      </c>
      <c r="C134" s="180" t="s">
        <v>626</v>
      </c>
      <c r="D134" s="196">
        <f>D135</f>
        <v>0</v>
      </c>
      <c r="E134" s="196">
        <f t="shared" ref="E134:G135" si="56">E135</f>
        <v>996016518.57999992</v>
      </c>
      <c r="F134" s="196">
        <f t="shared" si="56"/>
        <v>19395689.66</v>
      </c>
      <c r="G134" s="196">
        <f t="shared" si="56"/>
        <v>1015412208.2399999</v>
      </c>
      <c r="H134" s="236" t="e">
        <f>G134/D134</f>
        <v>#DIV/0!</v>
      </c>
      <c r="I134" s="207"/>
      <c r="J134" s="175"/>
    </row>
    <row r="135" spans="1:10" s="176" customFormat="1" x14ac:dyDescent="0.25">
      <c r="A135" s="169"/>
      <c r="B135" s="189" t="s">
        <v>624</v>
      </c>
      <c r="C135" s="180" t="s">
        <v>626</v>
      </c>
      <c r="D135" s="196">
        <f>D136</f>
        <v>0</v>
      </c>
      <c r="E135" s="196">
        <f t="shared" si="56"/>
        <v>996016518.57999992</v>
      </c>
      <c r="F135" s="196">
        <f t="shared" si="56"/>
        <v>19395689.66</v>
      </c>
      <c r="G135" s="196">
        <f t="shared" si="56"/>
        <v>1015412208.2399999</v>
      </c>
      <c r="H135" s="236" t="e">
        <f>G135/D135</f>
        <v>#DIV/0!</v>
      </c>
      <c r="I135" s="207"/>
      <c r="J135" s="175"/>
    </row>
    <row r="136" spans="1:10" s="176" customFormat="1" x14ac:dyDescent="0.25">
      <c r="A136" s="188"/>
      <c r="B136" s="190" t="s">
        <v>625</v>
      </c>
      <c r="C136" s="33" t="s">
        <v>626</v>
      </c>
      <c r="D136" s="181">
        <v>0</v>
      </c>
      <c r="E136" s="181">
        <f>'Realisasi Mei'!G136</f>
        <v>996016518.57999992</v>
      </c>
      <c r="F136" s="181">
        <v>19395689.66</v>
      </c>
      <c r="G136" s="181">
        <f>E136+F136</f>
        <v>1015412208.2399999</v>
      </c>
      <c r="H136" s="24" t="e">
        <f>G136/D136</f>
        <v>#DIV/0!</v>
      </c>
      <c r="I136" s="207"/>
      <c r="J136" s="175"/>
    </row>
    <row r="137" spans="1:10" s="176" customFormat="1" x14ac:dyDescent="0.25">
      <c r="A137" s="169"/>
      <c r="B137" s="177"/>
      <c r="C137" s="193"/>
      <c r="D137" s="181"/>
      <c r="E137" s="181"/>
      <c r="F137" s="181"/>
      <c r="G137" s="192"/>
      <c r="H137" s="24"/>
      <c r="I137" s="207"/>
      <c r="J137" s="175"/>
    </row>
    <row r="138" spans="1:10" s="176" customFormat="1" x14ac:dyDescent="0.25">
      <c r="A138" s="168" t="s">
        <v>62</v>
      </c>
      <c r="B138" s="179" t="s">
        <v>99</v>
      </c>
      <c r="C138" s="180" t="s">
        <v>100</v>
      </c>
      <c r="D138" s="191">
        <v>0</v>
      </c>
      <c r="E138" s="191">
        <f>'Realisasi April'!G135</f>
        <v>0</v>
      </c>
      <c r="F138" s="191">
        <v>0</v>
      </c>
      <c r="G138" s="191">
        <f>E138+F138</f>
        <v>0</v>
      </c>
      <c r="H138" s="236"/>
      <c r="I138" s="207"/>
      <c r="J138" s="175"/>
    </row>
    <row r="139" spans="1:10" s="176" customFormat="1" x14ac:dyDescent="0.25">
      <c r="A139" s="169"/>
      <c r="B139" s="170"/>
      <c r="C139" s="185"/>
      <c r="D139" s="191"/>
      <c r="E139" s="191"/>
      <c r="F139" s="191"/>
      <c r="G139" s="191"/>
      <c r="H139" s="236"/>
      <c r="I139" s="207"/>
      <c r="J139" s="175"/>
    </row>
    <row r="140" spans="1:10" s="176" customFormat="1" x14ac:dyDescent="0.25">
      <c r="A140" s="168" t="s">
        <v>66</v>
      </c>
      <c r="B140" s="189" t="s">
        <v>328</v>
      </c>
      <c r="C140" s="180" t="s">
        <v>101</v>
      </c>
      <c r="D140" s="191">
        <f>SUM(D141:D151)</f>
        <v>0</v>
      </c>
      <c r="E140" s="191">
        <f t="shared" ref="E140:G140" si="57">SUM(E141:E151)</f>
        <v>1178392997</v>
      </c>
      <c r="F140" s="191">
        <f t="shared" si="57"/>
        <v>9712178</v>
      </c>
      <c r="G140" s="191">
        <f t="shared" si="57"/>
        <v>1188105175</v>
      </c>
      <c r="H140" s="236" t="e">
        <f t="shared" ref="H140:H148" si="58">G140/D140</f>
        <v>#DIV/0!</v>
      </c>
      <c r="I140" s="207"/>
      <c r="J140" s="175"/>
    </row>
    <row r="141" spans="1:10" s="176" customFormat="1" x14ac:dyDescent="0.25">
      <c r="A141" s="188"/>
      <c r="B141" s="190" t="s">
        <v>329</v>
      </c>
      <c r="C141" s="33" t="s">
        <v>102</v>
      </c>
      <c r="D141" s="192"/>
      <c r="E141" s="192">
        <f>'Realisasi Mei'!G141</f>
        <v>12989922</v>
      </c>
      <c r="F141" s="192">
        <v>1049982</v>
      </c>
      <c r="G141" s="192">
        <f>E141+F141</f>
        <v>14039904</v>
      </c>
      <c r="H141" s="24" t="e">
        <f t="shared" si="58"/>
        <v>#DIV/0!</v>
      </c>
      <c r="I141" s="207"/>
      <c r="J141" s="175"/>
    </row>
    <row r="142" spans="1:10" s="176" customFormat="1" x14ac:dyDescent="0.25">
      <c r="A142" s="188"/>
      <c r="B142" s="190" t="s">
        <v>330</v>
      </c>
      <c r="C142" s="33" t="s">
        <v>103</v>
      </c>
      <c r="D142" s="192"/>
      <c r="E142" s="192">
        <f>'Realisasi Mei'!G142</f>
        <v>20039038</v>
      </c>
      <c r="F142" s="192">
        <v>4851017</v>
      </c>
      <c r="G142" s="192">
        <f t="shared" ref="G142:G150" si="59">E142+F142</f>
        <v>24890055</v>
      </c>
      <c r="H142" s="24" t="e">
        <f t="shared" si="58"/>
        <v>#DIV/0!</v>
      </c>
      <c r="I142" s="207"/>
      <c r="J142" s="175"/>
    </row>
    <row r="143" spans="1:10" s="176" customFormat="1" x14ac:dyDescent="0.25">
      <c r="A143" s="188"/>
      <c r="B143" s="190" t="s">
        <v>331</v>
      </c>
      <c r="C143" s="33" t="s">
        <v>104</v>
      </c>
      <c r="D143" s="192"/>
      <c r="E143" s="192">
        <f>'Realisasi Mei'!G143</f>
        <v>8222100</v>
      </c>
      <c r="F143" s="192">
        <v>1623473</v>
      </c>
      <c r="G143" s="192">
        <f t="shared" si="59"/>
        <v>9845573</v>
      </c>
      <c r="H143" s="24" t="e">
        <f t="shared" si="58"/>
        <v>#DIV/0!</v>
      </c>
      <c r="I143" s="207"/>
      <c r="J143" s="175"/>
    </row>
    <row r="144" spans="1:10" s="176" customFormat="1" x14ac:dyDescent="0.25">
      <c r="A144" s="188"/>
      <c r="B144" s="190" t="s">
        <v>332</v>
      </c>
      <c r="C144" s="33" t="s">
        <v>105</v>
      </c>
      <c r="D144" s="192"/>
      <c r="E144" s="192">
        <f>'Realisasi Mei'!G144</f>
        <v>1136872</v>
      </c>
      <c r="F144" s="192">
        <v>271998</v>
      </c>
      <c r="G144" s="192">
        <f t="shared" si="59"/>
        <v>1408870</v>
      </c>
      <c r="H144" s="24" t="e">
        <f t="shared" si="58"/>
        <v>#DIV/0!</v>
      </c>
      <c r="I144" s="207"/>
      <c r="J144" s="175"/>
    </row>
    <row r="145" spans="1:10" s="176" customFormat="1" x14ac:dyDescent="0.25">
      <c r="A145" s="188"/>
      <c r="B145" s="190" t="s">
        <v>333</v>
      </c>
      <c r="C145" s="33" t="s">
        <v>106</v>
      </c>
      <c r="D145" s="192"/>
      <c r="E145" s="192">
        <f>'Realisasi Mei'!G145</f>
        <v>820780390</v>
      </c>
      <c r="F145" s="192">
        <v>148852</v>
      </c>
      <c r="G145" s="192">
        <f t="shared" si="59"/>
        <v>820929242</v>
      </c>
      <c r="H145" s="24" t="e">
        <f t="shared" si="58"/>
        <v>#DIV/0!</v>
      </c>
      <c r="I145" s="207"/>
      <c r="J145" s="175"/>
    </row>
    <row r="146" spans="1:10" s="176" customFormat="1" x14ac:dyDescent="0.25">
      <c r="A146" s="188"/>
      <c r="B146" s="190" t="s">
        <v>334</v>
      </c>
      <c r="C146" s="33" t="s">
        <v>107</v>
      </c>
      <c r="D146" s="192"/>
      <c r="E146" s="192">
        <f>'Realisasi Mei'!G146</f>
        <v>2128173</v>
      </c>
      <c r="F146" s="192">
        <v>1697424</v>
      </c>
      <c r="G146" s="192">
        <f t="shared" si="59"/>
        <v>3825597</v>
      </c>
      <c r="H146" s="24" t="e">
        <f t="shared" si="58"/>
        <v>#DIV/0!</v>
      </c>
      <c r="I146" s="207"/>
      <c r="J146" s="175"/>
    </row>
    <row r="147" spans="1:10" s="176" customFormat="1" x14ac:dyDescent="0.25">
      <c r="A147" s="188"/>
      <c r="B147" s="190" t="s">
        <v>335</v>
      </c>
      <c r="C147" s="33" t="s">
        <v>108</v>
      </c>
      <c r="D147" s="192"/>
      <c r="E147" s="192">
        <f>'Realisasi Mei'!G147</f>
        <v>11665567</v>
      </c>
      <c r="F147" s="192">
        <v>61746</v>
      </c>
      <c r="G147" s="192">
        <f t="shared" si="59"/>
        <v>11727313</v>
      </c>
      <c r="H147" s="24" t="e">
        <f t="shared" si="58"/>
        <v>#DIV/0!</v>
      </c>
      <c r="I147" s="207"/>
      <c r="J147" s="175"/>
    </row>
    <row r="148" spans="1:10" s="176" customFormat="1" x14ac:dyDescent="0.25">
      <c r="A148" s="188"/>
      <c r="B148" s="190" t="s">
        <v>336</v>
      </c>
      <c r="C148" s="33" t="s">
        <v>109</v>
      </c>
      <c r="D148" s="192"/>
      <c r="E148" s="192">
        <f>'Realisasi Mei'!G148</f>
        <v>1001910</v>
      </c>
      <c r="F148" s="192">
        <v>7686</v>
      </c>
      <c r="G148" s="192">
        <f t="shared" si="59"/>
        <v>1009596</v>
      </c>
      <c r="H148" s="24" t="e">
        <f t="shared" si="58"/>
        <v>#DIV/0!</v>
      </c>
      <c r="I148" s="207"/>
      <c r="J148" s="175"/>
    </row>
    <row r="149" spans="1:10" s="176" customFormat="1" x14ac:dyDescent="0.25">
      <c r="A149" s="188"/>
      <c r="B149" s="190" t="s">
        <v>484</v>
      </c>
      <c r="C149" s="33" t="s">
        <v>482</v>
      </c>
      <c r="D149" s="192"/>
      <c r="E149" s="192">
        <f>'Realisasi Mei'!G149</f>
        <v>0</v>
      </c>
      <c r="F149" s="192"/>
      <c r="G149" s="192">
        <f t="shared" si="59"/>
        <v>0</v>
      </c>
      <c r="H149" s="24"/>
      <c r="I149" s="207"/>
      <c r="J149" s="175"/>
    </row>
    <row r="150" spans="1:10" s="176" customFormat="1" x14ac:dyDescent="0.25">
      <c r="A150" s="188"/>
      <c r="B150" s="190" t="s">
        <v>337</v>
      </c>
      <c r="C150" s="33" t="s">
        <v>110</v>
      </c>
      <c r="D150" s="192"/>
      <c r="E150" s="192">
        <f>'Realisasi Mei'!G150</f>
        <v>300429025</v>
      </c>
      <c r="F150" s="192">
        <v>0</v>
      </c>
      <c r="G150" s="192">
        <f t="shared" si="59"/>
        <v>300429025</v>
      </c>
      <c r="H150" s="24" t="e">
        <f>G150/D150</f>
        <v>#DIV/0!</v>
      </c>
      <c r="I150" s="207"/>
      <c r="J150" s="175"/>
    </row>
    <row r="151" spans="1:10" s="176" customFormat="1" x14ac:dyDescent="0.25">
      <c r="A151" s="188"/>
      <c r="B151" s="190" t="s">
        <v>485</v>
      </c>
      <c r="C151" s="33" t="s">
        <v>483</v>
      </c>
      <c r="D151" s="192">
        <v>0</v>
      </c>
      <c r="E151" s="192">
        <f>'Realisasi Mei'!G151</f>
        <v>0</v>
      </c>
      <c r="F151" s="192"/>
      <c r="G151" s="192">
        <f>F151-D151</f>
        <v>0</v>
      </c>
      <c r="H151" s="24" t="e">
        <f>G151/D151</f>
        <v>#DIV/0!</v>
      </c>
      <c r="I151" s="207"/>
      <c r="J151" s="175"/>
    </row>
    <row r="152" spans="1:10" s="176" customFormat="1" x14ac:dyDescent="0.25">
      <c r="A152" s="169"/>
      <c r="B152" s="170"/>
      <c r="C152" s="180"/>
      <c r="D152" s="191"/>
      <c r="E152" s="191"/>
      <c r="F152" s="191"/>
      <c r="G152" s="191"/>
      <c r="H152" s="24"/>
      <c r="I152" s="207"/>
      <c r="J152" s="175"/>
    </row>
    <row r="153" spans="1:10" s="176" customFormat="1" x14ac:dyDescent="0.25">
      <c r="A153" s="168" t="s">
        <v>73</v>
      </c>
      <c r="B153" s="189" t="s">
        <v>327</v>
      </c>
      <c r="C153" s="185" t="s">
        <v>111</v>
      </c>
      <c r="D153" s="191"/>
      <c r="E153" s="191">
        <f>'Realisasi April'!G150</f>
        <v>0</v>
      </c>
      <c r="F153" s="191"/>
      <c r="G153" s="191"/>
      <c r="H153" s="236" t="e">
        <f t="shared" ref="H153" si="60">G153/D153</f>
        <v>#DIV/0!</v>
      </c>
      <c r="I153" s="207"/>
      <c r="J153" s="175"/>
    </row>
    <row r="154" spans="1:10" s="176" customFormat="1" x14ac:dyDescent="0.25">
      <c r="A154" s="169"/>
      <c r="B154" s="170"/>
      <c r="C154" s="185"/>
      <c r="D154" s="191"/>
      <c r="E154" s="191"/>
      <c r="F154" s="191"/>
      <c r="G154" s="191"/>
      <c r="H154" s="236"/>
      <c r="I154" s="207"/>
      <c r="J154" s="175"/>
    </row>
    <row r="155" spans="1:10" s="176" customFormat="1" x14ac:dyDescent="0.25">
      <c r="A155" s="168" t="s">
        <v>74</v>
      </c>
      <c r="B155" s="189" t="s">
        <v>338</v>
      </c>
      <c r="C155" s="34" t="s">
        <v>339</v>
      </c>
      <c r="D155" s="191">
        <f>D156+D159</f>
        <v>0</v>
      </c>
      <c r="E155" s="191">
        <f>E156+E159</f>
        <v>89446515</v>
      </c>
      <c r="F155" s="191">
        <f t="shared" ref="F155:G155" si="61">F156+F159</f>
        <v>3553200</v>
      </c>
      <c r="G155" s="191">
        <f t="shared" si="61"/>
        <v>92999715</v>
      </c>
      <c r="H155" s="277" t="e">
        <f>G155/D155</f>
        <v>#DIV/0!</v>
      </c>
      <c r="I155" s="207"/>
      <c r="J155" s="175"/>
    </row>
    <row r="156" spans="1:10" s="176" customFormat="1" x14ac:dyDescent="0.25">
      <c r="A156" s="169"/>
      <c r="B156" s="189" t="s">
        <v>596</v>
      </c>
      <c r="C156" s="180" t="s">
        <v>598</v>
      </c>
      <c r="D156" s="191">
        <f>D157</f>
        <v>0</v>
      </c>
      <c r="E156" s="191">
        <f>E157</f>
        <v>3000000</v>
      </c>
      <c r="F156" s="191">
        <f t="shared" ref="F156:G156" si="62">F157</f>
        <v>3553200</v>
      </c>
      <c r="G156" s="191">
        <f t="shared" si="62"/>
        <v>6553200</v>
      </c>
      <c r="H156" s="277" t="e">
        <f>G156/D156</f>
        <v>#DIV/0!</v>
      </c>
      <c r="I156" s="207"/>
      <c r="J156" s="175"/>
    </row>
    <row r="157" spans="1:10" s="176" customFormat="1" x14ac:dyDescent="0.25">
      <c r="A157" s="169"/>
      <c r="B157" s="190" t="s">
        <v>597</v>
      </c>
      <c r="C157" s="33" t="s">
        <v>598</v>
      </c>
      <c r="D157" s="192">
        <v>0</v>
      </c>
      <c r="E157" s="192">
        <f>'Realisasi Mei'!G157</f>
        <v>3000000</v>
      </c>
      <c r="F157" s="192">
        <v>3553200</v>
      </c>
      <c r="G157" s="192">
        <f>E157+F157</f>
        <v>6553200</v>
      </c>
      <c r="H157" s="278" t="e">
        <f>G157/D157</f>
        <v>#DIV/0!</v>
      </c>
      <c r="I157" s="207"/>
      <c r="J157" s="175"/>
    </row>
    <row r="158" spans="1:10" s="176" customFormat="1" x14ac:dyDescent="0.25">
      <c r="A158" s="169"/>
      <c r="B158" s="170"/>
      <c r="C158" s="180"/>
      <c r="D158" s="191"/>
      <c r="E158" s="191"/>
      <c r="F158" s="191"/>
      <c r="G158" s="191"/>
      <c r="H158" s="277"/>
      <c r="I158" s="207"/>
      <c r="J158" s="175"/>
    </row>
    <row r="159" spans="1:10" s="176" customFormat="1" x14ac:dyDescent="0.25">
      <c r="A159" s="169"/>
      <c r="B159" s="189" t="s">
        <v>599</v>
      </c>
      <c r="C159" s="180" t="s">
        <v>601</v>
      </c>
      <c r="D159" s="191">
        <f>D160</f>
        <v>0</v>
      </c>
      <c r="E159" s="191">
        <f>E160</f>
        <v>86446515</v>
      </c>
      <c r="F159" s="191">
        <f t="shared" ref="F159:G159" si="63">F160</f>
        <v>0</v>
      </c>
      <c r="G159" s="191">
        <f t="shared" si="63"/>
        <v>86446515</v>
      </c>
      <c r="H159" s="277" t="e">
        <f>G159/D159</f>
        <v>#DIV/0!</v>
      </c>
      <c r="I159" s="207"/>
      <c r="J159" s="175"/>
    </row>
    <row r="160" spans="1:10" s="176" customFormat="1" x14ac:dyDescent="0.25">
      <c r="A160" s="169"/>
      <c r="B160" s="190" t="s">
        <v>600</v>
      </c>
      <c r="C160" s="33" t="s">
        <v>601</v>
      </c>
      <c r="D160" s="192">
        <v>0</v>
      </c>
      <c r="E160" s="192">
        <f>'Realisasi Mei'!G160</f>
        <v>86446515</v>
      </c>
      <c r="F160" s="192">
        <v>0</v>
      </c>
      <c r="G160" s="192">
        <f>E160+F160</f>
        <v>86446515</v>
      </c>
      <c r="H160" s="278" t="e">
        <f>G160/D160</f>
        <v>#DIV/0!</v>
      </c>
      <c r="I160" s="207"/>
      <c r="J160" s="175"/>
    </row>
    <row r="161" spans="1:10" s="176" customFormat="1" x14ac:dyDescent="0.25">
      <c r="A161" s="169"/>
      <c r="B161" s="190"/>
      <c r="C161" s="33"/>
      <c r="D161" s="192"/>
      <c r="E161" s="192"/>
      <c r="F161" s="192"/>
      <c r="G161" s="192"/>
      <c r="H161" s="278"/>
      <c r="I161" s="207"/>
      <c r="J161" s="175"/>
    </row>
    <row r="162" spans="1:10" s="176" customFormat="1" x14ac:dyDescent="0.25">
      <c r="A162" s="168" t="s">
        <v>81</v>
      </c>
      <c r="B162" s="22" t="s">
        <v>306</v>
      </c>
      <c r="C162" s="185" t="s">
        <v>75</v>
      </c>
      <c r="D162" s="196">
        <f>D163</f>
        <v>122100000000</v>
      </c>
      <c r="E162" s="196">
        <f t="shared" ref="E162:G163" si="64">E163</f>
        <v>88960724100</v>
      </c>
      <c r="F162" s="196">
        <f t="shared" si="64"/>
        <v>13387992049</v>
      </c>
      <c r="G162" s="196">
        <f t="shared" si="64"/>
        <v>102348716149</v>
      </c>
      <c r="H162" s="236">
        <f t="shared" ref="H162:H194" si="65">G162/D162</f>
        <v>0.83823682349713347</v>
      </c>
      <c r="I162" s="207" t="s">
        <v>112</v>
      </c>
      <c r="J162" s="175"/>
    </row>
    <row r="163" spans="1:10" s="176" customFormat="1" x14ac:dyDescent="0.25">
      <c r="A163" s="168"/>
      <c r="B163" s="189" t="s">
        <v>340</v>
      </c>
      <c r="C163" s="185" t="s">
        <v>341</v>
      </c>
      <c r="D163" s="196">
        <f>D164</f>
        <v>122100000000</v>
      </c>
      <c r="E163" s="196">
        <f t="shared" si="64"/>
        <v>88960724100</v>
      </c>
      <c r="F163" s="196">
        <f t="shared" si="64"/>
        <v>13387992049</v>
      </c>
      <c r="G163" s="196">
        <f t="shared" si="64"/>
        <v>102348716149</v>
      </c>
      <c r="H163" s="236">
        <f t="shared" si="65"/>
        <v>0.83823682349713347</v>
      </c>
      <c r="I163" s="207"/>
      <c r="J163" s="175"/>
    </row>
    <row r="164" spans="1:10" s="176" customFormat="1" x14ac:dyDescent="0.25">
      <c r="A164" s="188"/>
      <c r="B164" s="178"/>
      <c r="C164" s="185" t="s">
        <v>113</v>
      </c>
      <c r="D164" s="191">
        <f>D165+D172+D178+D181+D185+D188+D191+D194+D198</f>
        <v>122100000000</v>
      </c>
      <c r="E164" s="191">
        <f t="shared" ref="E164:G164" si="66">E165+E172+E178+E181+E185+E188+E191+E194+E198</f>
        <v>88960724100</v>
      </c>
      <c r="F164" s="191">
        <f t="shared" si="66"/>
        <v>13387992049</v>
      </c>
      <c r="G164" s="191">
        <f t="shared" si="66"/>
        <v>102348716149</v>
      </c>
      <c r="H164" s="236">
        <f>G164/D164</f>
        <v>0.83823682349713347</v>
      </c>
      <c r="I164" s="207" t="s">
        <v>114</v>
      </c>
      <c r="J164" s="175"/>
    </row>
    <row r="165" spans="1:10" s="176" customFormat="1" x14ac:dyDescent="0.25">
      <c r="A165" s="188"/>
      <c r="B165" s="178"/>
      <c r="C165" s="35" t="s">
        <v>115</v>
      </c>
      <c r="D165" s="191">
        <f>SUM(D166:D171)</f>
        <v>10327224000</v>
      </c>
      <c r="E165" s="191">
        <f t="shared" ref="E165:G165" si="67">SUM(E166:E171)</f>
        <v>3917872609</v>
      </c>
      <c r="F165" s="191">
        <f t="shared" si="67"/>
        <v>837665966</v>
      </c>
      <c r="G165" s="191">
        <f t="shared" si="67"/>
        <v>4755538575</v>
      </c>
      <c r="H165" s="236">
        <f t="shared" si="65"/>
        <v>0.46048566149044506</v>
      </c>
      <c r="I165" s="207"/>
      <c r="J165" s="175"/>
    </row>
    <row r="166" spans="1:10" s="176" customFormat="1" x14ac:dyDescent="0.25">
      <c r="A166" s="188"/>
      <c r="B166" s="178"/>
      <c r="C166" s="171" t="s">
        <v>116</v>
      </c>
      <c r="D166" s="192">
        <v>794144000</v>
      </c>
      <c r="E166" s="192">
        <f>'Realisasi Mei'!G166</f>
        <v>346484524</v>
      </c>
      <c r="F166" s="192">
        <v>71183669</v>
      </c>
      <c r="G166" s="192">
        <f>E166+F166</f>
        <v>417668193</v>
      </c>
      <c r="H166" s="24">
        <f t="shared" si="65"/>
        <v>0.52593508608010642</v>
      </c>
      <c r="I166" s="207"/>
      <c r="J166" s="175"/>
    </row>
    <row r="167" spans="1:10" s="176" customFormat="1" x14ac:dyDescent="0.25">
      <c r="A167" s="188"/>
      <c r="B167" s="178"/>
      <c r="C167" s="171" t="s">
        <v>117</v>
      </c>
      <c r="D167" s="192">
        <v>1454000000</v>
      </c>
      <c r="E167" s="192">
        <f>'Realisasi Mei'!G167</f>
        <v>759888890</v>
      </c>
      <c r="F167" s="192">
        <v>96225728</v>
      </c>
      <c r="G167" s="192">
        <f t="shared" ref="G167:G171" si="68">E167+F167</f>
        <v>856114618</v>
      </c>
      <c r="H167" s="24">
        <f t="shared" si="65"/>
        <v>0.58879959972489682</v>
      </c>
      <c r="I167" s="207"/>
      <c r="J167" s="175"/>
    </row>
    <row r="168" spans="1:10" s="176" customFormat="1" x14ac:dyDescent="0.25">
      <c r="A168" s="188"/>
      <c r="B168" s="178"/>
      <c r="C168" s="171" t="s">
        <v>118</v>
      </c>
      <c r="D168" s="192">
        <v>4535600000</v>
      </c>
      <c r="E168" s="192">
        <f>'Realisasi Mei'!G168</f>
        <v>1572058747</v>
      </c>
      <c r="F168" s="192">
        <v>352951337</v>
      </c>
      <c r="G168" s="192">
        <f t="shared" si="68"/>
        <v>1925010084</v>
      </c>
      <c r="H168" s="24">
        <f t="shared" si="65"/>
        <v>0.42442236616985624</v>
      </c>
      <c r="I168" s="207"/>
      <c r="J168" s="175"/>
    </row>
    <row r="169" spans="1:10" s="176" customFormat="1" x14ac:dyDescent="0.25">
      <c r="A169" s="188"/>
      <c r="B169" s="178"/>
      <c r="C169" s="171" t="s">
        <v>119</v>
      </c>
      <c r="D169" s="192">
        <v>2388980000</v>
      </c>
      <c r="E169" s="192">
        <f>'Realisasi Mei'!G169</f>
        <v>611176747</v>
      </c>
      <c r="F169" s="192">
        <v>163739624</v>
      </c>
      <c r="G169" s="192">
        <f t="shared" si="68"/>
        <v>774916371</v>
      </c>
      <c r="H169" s="24">
        <f t="shared" si="65"/>
        <v>0.32437122579510919</v>
      </c>
      <c r="I169" s="207"/>
      <c r="J169" s="175"/>
    </row>
    <row r="170" spans="1:10" s="176" customFormat="1" x14ac:dyDescent="0.25">
      <c r="A170" s="188"/>
      <c r="B170" s="178"/>
      <c r="C170" s="171" t="s">
        <v>120</v>
      </c>
      <c r="D170" s="192">
        <v>51200000</v>
      </c>
      <c r="E170" s="192">
        <f>'Realisasi Mei'!G170</f>
        <v>19591000</v>
      </c>
      <c r="F170" s="192">
        <v>3744000</v>
      </c>
      <c r="G170" s="192">
        <f t="shared" si="68"/>
        <v>23335000</v>
      </c>
      <c r="H170" s="24">
        <f t="shared" si="65"/>
        <v>0.45576171874999999</v>
      </c>
      <c r="I170" s="207"/>
      <c r="J170" s="175"/>
    </row>
    <row r="171" spans="1:10" s="176" customFormat="1" x14ac:dyDescent="0.25">
      <c r="A171" s="188"/>
      <c r="B171" s="178"/>
      <c r="C171" s="171" t="s">
        <v>121</v>
      </c>
      <c r="D171" s="192">
        <v>1103300000</v>
      </c>
      <c r="E171" s="192">
        <f>'Realisasi Mei'!G171</f>
        <v>608672701</v>
      </c>
      <c r="F171" s="192">
        <v>149821608</v>
      </c>
      <c r="G171" s="192">
        <f t="shared" si="68"/>
        <v>758494309</v>
      </c>
      <c r="H171" s="24">
        <f t="shared" si="65"/>
        <v>0.68747784736698991</v>
      </c>
      <c r="I171" s="207"/>
      <c r="J171" s="175"/>
    </row>
    <row r="172" spans="1:10" s="176" customFormat="1" x14ac:dyDescent="0.25">
      <c r="A172" s="188"/>
      <c r="B172" s="178"/>
      <c r="C172" s="185" t="s">
        <v>122</v>
      </c>
      <c r="D172" s="191">
        <f>SUM(D173:D177)</f>
        <v>71738434000</v>
      </c>
      <c r="E172" s="191">
        <f t="shared" ref="E172:G172" si="69">SUM(E173:E177)</f>
        <v>25511338219</v>
      </c>
      <c r="F172" s="191">
        <f t="shared" si="69"/>
        <v>6474184398</v>
      </c>
      <c r="G172" s="191">
        <f t="shared" si="69"/>
        <v>31985522617</v>
      </c>
      <c r="H172" s="236">
        <f t="shared" si="65"/>
        <v>0.44586312850096504</v>
      </c>
      <c r="I172" s="207"/>
      <c r="J172" s="175"/>
    </row>
    <row r="173" spans="1:10" s="176" customFormat="1" x14ac:dyDescent="0.25">
      <c r="A173" s="188"/>
      <c r="B173" s="178"/>
      <c r="C173" s="171" t="s">
        <v>117</v>
      </c>
      <c r="D173" s="192">
        <v>19459500000</v>
      </c>
      <c r="E173" s="192">
        <f>'Realisasi Mei'!G173</f>
        <v>8751782300</v>
      </c>
      <c r="F173" s="192">
        <v>1762636900</v>
      </c>
      <c r="G173" s="192">
        <f>E173+F173</f>
        <v>10514419200</v>
      </c>
      <c r="H173" s="24">
        <f t="shared" si="65"/>
        <v>0.54032319432667852</v>
      </c>
      <c r="I173" s="207"/>
      <c r="J173" s="175"/>
    </row>
    <row r="174" spans="1:10" s="176" customFormat="1" x14ac:dyDescent="0.25">
      <c r="A174" s="188"/>
      <c r="B174" s="178"/>
      <c r="C174" s="171" t="s">
        <v>118</v>
      </c>
      <c r="D174" s="192">
        <v>49831374000</v>
      </c>
      <c r="E174" s="192">
        <f>'Realisasi Mei'!G174</f>
        <v>15432137633</v>
      </c>
      <c r="F174" s="192">
        <v>4393620537</v>
      </c>
      <c r="G174" s="192">
        <f t="shared" ref="G174:G177" si="70">E174+F174</f>
        <v>19825758170</v>
      </c>
      <c r="H174" s="24">
        <f t="shared" si="65"/>
        <v>0.39785694390044313</v>
      </c>
      <c r="I174" s="207"/>
      <c r="J174" s="175"/>
    </row>
    <row r="175" spans="1:10" s="176" customFormat="1" x14ac:dyDescent="0.25">
      <c r="A175" s="188"/>
      <c r="B175" s="178"/>
      <c r="C175" s="171" t="s">
        <v>123</v>
      </c>
      <c r="D175" s="192">
        <v>227620000</v>
      </c>
      <c r="E175" s="192">
        <f>'Realisasi Mei'!G175</f>
        <v>158000000</v>
      </c>
      <c r="F175" s="192">
        <v>30250000</v>
      </c>
      <c r="G175" s="192">
        <f t="shared" si="70"/>
        <v>188250000</v>
      </c>
      <c r="H175" s="24">
        <f t="shared" si="65"/>
        <v>0.8270362885510939</v>
      </c>
      <c r="I175" s="207"/>
      <c r="J175" s="175"/>
    </row>
    <row r="176" spans="1:10" s="176" customFormat="1" x14ac:dyDescent="0.25">
      <c r="A176" s="188"/>
      <c r="B176" s="178"/>
      <c r="C176" s="171" t="s">
        <v>124</v>
      </c>
      <c r="D176" s="192">
        <v>2087340000</v>
      </c>
      <c r="E176" s="192">
        <f>'Realisasi Mei'!G176</f>
        <v>1114248886</v>
      </c>
      <c r="F176" s="192">
        <v>239738161</v>
      </c>
      <c r="G176" s="192">
        <f t="shared" si="70"/>
        <v>1353987047</v>
      </c>
      <c r="H176" s="24">
        <f t="shared" si="65"/>
        <v>0.6486662675941629</v>
      </c>
      <c r="I176" s="207"/>
      <c r="J176" s="175"/>
    </row>
    <row r="177" spans="1:10" s="176" customFormat="1" x14ac:dyDescent="0.25">
      <c r="A177" s="188"/>
      <c r="B177" s="178"/>
      <c r="C177" s="171" t="s">
        <v>120</v>
      </c>
      <c r="D177" s="192">
        <v>132600000</v>
      </c>
      <c r="E177" s="192">
        <f>'Realisasi Mei'!G177</f>
        <v>55169400</v>
      </c>
      <c r="F177" s="192">
        <v>47938800</v>
      </c>
      <c r="G177" s="192">
        <f t="shared" si="70"/>
        <v>103108200</v>
      </c>
      <c r="H177" s="24">
        <f t="shared" si="65"/>
        <v>0.77758823529411769</v>
      </c>
      <c r="I177" s="207"/>
      <c r="J177" s="175"/>
    </row>
    <row r="178" spans="1:10" s="176" customFormat="1" x14ac:dyDescent="0.25">
      <c r="A178" s="188"/>
      <c r="B178" s="178"/>
      <c r="C178" s="185" t="s">
        <v>125</v>
      </c>
      <c r="D178" s="191">
        <f>SUM(D179:D180)</f>
        <v>31531500000</v>
      </c>
      <c r="E178" s="191">
        <f t="shared" ref="E178:G178" si="71">SUM(E179:E180)</f>
        <v>57496344750</v>
      </c>
      <c r="F178" s="191">
        <f t="shared" si="71"/>
        <v>4242671050</v>
      </c>
      <c r="G178" s="191">
        <f t="shared" si="71"/>
        <v>61739015800</v>
      </c>
      <c r="H178" s="236">
        <f t="shared" si="65"/>
        <v>1.9580107448107449</v>
      </c>
      <c r="I178" s="207"/>
      <c r="J178" s="175"/>
    </row>
    <row r="179" spans="1:10" s="176" customFormat="1" x14ac:dyDescent="0.25">
      <c r="A179" s="188"/>
      <c r="B179" s="178"/>
      <c r="C179" s="171" t="s">
        <v>117</v>
      </c>
      <c r="D179" s="192">
        <v>31500000</v>
      </c>
      <c r="E179" s="192">
        <f>'Realisasi Mei'!G179</f>
        <v>89200600</v>
      </c>
      <c r="F179" s="192"/>
      <c r="G179" s="192">
        <f>E179+F179</f>
        <v>89200600</v>
      </c>
      <c r="H179" s="24">
        <f t="shared" si="65"/>
        <v>2.8317650793650793</v>
      </c>
      <c r="I179" s="207"/>
      <c r="J179" s="175"/>
    </row>
    <row r="180" spans="1:10" s="176" customFormat="1" x14ac:dyDescent="0.25">
      <c r="A180" s="188"/>
      <c r="B180" s="178"/>
      <c r="C180" s="171" t="s">
        <v>118</v>
      </c>
      <c r="D180" s="192">
        <v>31500000000</v>
      </c>
      <c r="E180" s="192">
        <f>'Realisasi Mei'!G180</f>
        <v>57407144150</v>
      </c>
      <c r="F180" s="192">
        <v>4242671050</v>
      </c>
      <c r="G180" s="192">
        <f>E180+F180</f>
        <v>61649815200</v>
      </c>
      <c r="H180" s="24">
        <f t="shared" si="65"/>
        <v>1.9571369904761904</v>
      </c>
      <c r="I180" s="207"/>
      <c r="J180" s="175"/>
    </row>
    <row r="181" spans="1:10" s="176" customFormat="1" x14ac:dyDescent="0.25">
      <c r="A181" s="188"/>
      <c r="B181" s="178"/>
      <c r="C181" s="185" t="s">
        <v>126</v>
      </c>
      <c r="D181" s="191">
        <f>SUM(D182:D184)</f>
        <v>3381016000</v>
      </c>
      <c r="E181" s="191">
        <f t="shared" ref="E181:G181" si="72">SUM(E182:E184)</f>
        <v>1701787617</v>
      </c>
      <c r="F181" s="191">
        <f t="shared" si="72"/>
        <v>554371772</v>
      </c>
      <c r="G181" s="191">
        <f t="shared" si="72"/>
        <v>2256159389</v>
      </c>
      <c r="H181" s="236">
        <f t="shared" si="65"/>
        <v>0.66730219229959276</v>
      </c>
      <c r="I181" s="207"/>
      <c r="J181" s="175"/>
    </row>
    <row r="182" spans="1:10" s="176" customFormat="1" x14ac:dyDescent="0.25">
      <c r="A182" s="188"/>
      <c r="B182" s="178"/>
      <c r="C182" s="171" t="s">
        <v>117</v>
      </c>
      <c r="D182" s="192">
        <v>644736000</v>
      </c>
      <c r="E182" s="192">
        <f>'Realisasi Mei'!G182</f>
        <v>254191848</v>
      </c>
      <c r="F182" s="192">
        <v>40719566</v>
      </c>
      <c r="G182" s="192">
        <f>E182+F182</f>
        <v>294911414</v>
      </c>
      <c r="H182" s="24">
        <f t="shared" si="65"/>
        <v>0.45741421915326586</v>
      </c>
      <c r="I182" s="207" t="s">
        <v>127</v>
      </c>
      <c r="J182" s="175"/>
    </row>
    <row r="183" spans="1:10" s="176" customFormat="1" x14ac:dyDescent="0.25">
      <c r="A183" s="188"/>
      <c r="B183" s="178"/>
      <c r="C183" s="171" t="s">
        <v>118</v>
      </c>
      <c r="D183" s="192">
        <v>2080780000</v>
      </c>
      <c r="E183" s="192">
        <f>'Realisasi Mei'!G183</f>
        <v>1167381888</v>
      </c>
      <c r="F183" s="192">
        <v>417335376</v>
      </c>
      <c r="G183" s="192">
        <f t="shared" ref="G183:G184" si="73">E183+F183</f>
        <v>1584717264</v>
      </c>
      <c r="H183" s="24">
        <f t="shared" si="65"/>
        <v>0.76159770086217671</v>
      </c>
      <c r="I183" s="207"/>
      <c r="J183" s="175"/>
    </row>
    <row r="184" spans="1:10" s="176" customFormat="1" x14ac:dyDescent="0.25">
      <c r="A184" s="188"/>
      <c r="B184" s="178"/>
      <c r="C184" s="171" t="s">
        <v>128</v>
      </c>
      <c r="D184" s="192">
        <v>655500000</v>
      </c>
      <c r="E184" s="192">
        <f>'Realisasi Mei'!G184</f>
        <v>280213881</v>
      </c>
      <c r="F184" s="192">
        <v>96316830</v>
      </c>
      <c r="G184" s="192">
        <f t="shared" si="73"/>
        <v>376530711</v>
      </c>
      <c r="H184" s="24">
        <f t="shared" si="65"/>
        <v>0.57441756064073224</v>
      </c>
      <c r="I184" s="207"/>
      <c r="J184" s="175"/>
    </row>
    <row r="185" spans="1:10" s="176" customFormat="1" x14ac:dyDescent="0.25">
      <c r="A185" s="169"/>
      <c r="B185" s="178"/>
      <c r="C185" s="185" t="s">
        <v>129</v>
      </c>
      <c r="D185" s="191">
        <f>SUM(D186:D187)</f>
        <v>3861588000</v>
      </c>
      <c r="E185" s="191">
        <f t="shared" ref="E185:G185" si="74">SUM(E186:E187)</f>
        <v>0</v>
      </c>
      <c r="F185" s="191">
        <f t="shared" si="74"/>
        <v>784783443</v>
      </c>
      <c r="G185" s="191">
        <f t="shared" si="74"/>
        <v>784783443</v>
      </c>
      <c r="H185" s="236">
        <f t="shared" si="65"/>
        <v>0.20322816494146967</v>
      </c>
      <c r="I185" s="207"/>
      <c r="J185" s="175"/>
    </row>
    <row r="186" spans="1:10" s="176" customFormat="1" x14ac:dyDescent="0.25">
      <c r="A186" s="188"/>
      <c r="B186" s="178"/>
      <c r="C186" s="171" t="s">
        <v>117</v>
      </c>
      <c r="D186" s="192">
        <v>60588000</v>
      </c>
      <c r="E186" s="192">
        <f>'Realisasi Mei'!G186</f>
        <v>0</v>
      </c>
      <c r="F186" s="192">
        <v>121477456</v>
      </c>
      <c r="G186" s="192">
        <f>E186+F186</f>
        <v>121477456</v>
      </c>
      <c r="H186" s="24">
        <f t="shared" si="65"/>
        <v>2.0049755067009971</v>
      </c>
      <c r="I186" s="207"/>
      <c r="J186" s="175"/>
    </row>
    <row r="187" spans="1:10" s="176" customFormat="1" x14ac:dyDescent="0.25">
      <c r="A187" s="188"/>
      <c r="B187" s="178"/>
      <c r="C187" s="171" t="s">
        <v>118</v>
      </c>
      <c r="D187" s="192">
        <v>3801000000</v>
      </c>
      <c r="E187" s="192">
        <f>'Realisasi Mei'!G187</f>
        <v>0</v>
      </c>
      <c r="F187" s="192">
        <v>663305987</v>
      </c>
      <c r="G187" s="192">
        <f>E187+F187</f>
        <v>663305987</v>
      </c>
      <c r="H187" s="24">
        <f t="shared" si="65"/>
        <v>0.17450828387266509</v>
      </c>
      <c r="I187" s="207"/>
      <c r="J187" s="175"/>
    </row>
    <row r="188" spans="1:10" s="176" customFormat="1" x14ac:dyDescent="0.25">
      <c r="A188" s="188"/>
      <c r="B188" s="178"/>
      <c r="C188" s="185" t="s">
        <v>130</v>
      </c>
      <c r="D188" s="191">
        <f>SUM(D189:D190)</f>
        <v>249113200</v>
      </c>
      <c r="E188" s="191">
        <f t="shared" ref="E188:G188" si="75">SUM(E189:E190)</f>
        <v>0</v>
      </c>
      <c r="F188" s="191">
        <f t="shared" si="75"/>
        <v>0</v>
      </c>
      <c r="G188" s="191">
        <f t="shared" si="75"/>
        <v>0</v>
      </c>
      <c r="H188" s="236">
        <f t="shared" si="65"/>
        <v>0</v>
      </c>
      <c r="I188" s="207"/>
      <c r="J188" s="175"/>
    </row>
    <row r="189" spans="1:10" s="176" customFormat="1" x14ac:dyDescent="0.25">
      <c r="A189" s="188"/>
      <c r="B189" s="178"/>
      <c r="C189" s="171" t="s">
        <v>117</v>
      </c>
      <c r="D189" s="192">
        <v>554500</v>
      </c>
      <c r="E189" s="192">
        <f>'Realisasi April'!G186</f>
        <v>0</v>
      </c>
      <c r="F189" s="192">
        <v>0</v>
      </c>
      <c r="G189" s="192">
        <f>E189+F189</f>
        <v>0</v>
      </c>
      <c r="H189" s="24">
        <f t="shared" si="65"/>
        <v>0</v>
      </c>
      <c r="I189" s="207"/>
      <c r="J189" s="175"/>
    </row>
    <row r="190" spans="1:10" s="176" customFormat="1" x14ac:dyDescent="0.25">
      <c r="A190" s="188"/>
      <c r="B190" s="178"/>
      <c r="C190" s="171" t="s">
        <v>118</v>
      </c>
      <c r="D190" s="192">
        <v>248558700</v>
      </c>
      <c r="E190" s="192">
        <f>'Realisasi April'!G187</f>
        <v>0</v>
      </c>
      <c r="F190" s="192"/>
      <c r="G190" s="192">
        <f>E190+F190</f>
        <v>0</v>
      </c>
      <c r="H190" s="24">
        <f t="shared" si="65"/>
        <v>0</v>
      </c>
      <c r="I190" s="207"/>
      <c r="J190" s="175"/>
    </row>
    <row r="191" spans="1:10" s="176" customFormat="1" x14ac:dyDescent="0.25">
      <c r="A191" s="188"/>
      <c r="B191" s="178"/>
      <c r="C191" s="185" t="s">
        <v>131</v>
      </c>
      <c r="D191" s="191">
        <f>SUM(D192:D193)</f>
        <v>90525000</v>
      </c>
      <c r="E191" s="191">
        <f t="shared" ref="E191:G191" si="76">SUM(E192:E193)</f>
        <v>0</v>
      </c>
      <c r="F191" s="191">
        <f t="shared" si="76"/>
        <v>309809211</v>
      </c>
      <c r="G191" s="191">
        <f t="shared" si="76"/>
        <v>309809211</v>
      </c>
      <c r="H191" s="236">
        <f t="shared" si="65"/>
        <v>3.4223607953603978</v>
      </c>
      <c r="I191" s="207"/>
      <c r="J191" s="175"/>
    </row>
    <row r="192" spans="1:10" s="176" customFormat="1" x14ac:dyDescent="0.25">
      <c r="A192" s="188"/>
      <c r="B192" s="178"/>
      <c r="C192" s="171" t="s">
        <v>117</v>
      </c>
      <c r="D192" s="192">
        <v>525000</v>
      </c>
      <c r="E192" s="192">
        <f>'Realisasi April'!G189</f>
        <v>0</v>
      </c>
      <c r="F192" s="192">
        <v>3549441</v>
      </c>
      <c r="G192" s="192">
        <f>E192+F192</f>
        <v>3549441</v>
      </c>
      <c r="H192" s="24">
        <f t="shared" si="65"/>
        <v>6.76084</v>
      </c>
      <c r="I192" s="207"/>
      <c r="J192" s="175"/>
    </row>
    <row r="193" spans="1:12" s="176" customFormat="1" x14ac:dyDescent="0.25">
      <c r="A193" s="188"/>
      <c r="B193" s="178"/>
      <c r="C193" s="171" t="s">
        <v>118</v>
      </c>
      <c r="D193" s="192">
        <v>90000000</v>
      </c>
      <c r="E193" s="192">
        <f>'Realisasi April'!G190</f>
        <v>0</v>
      </c>
      <c r="F193" s="192">
        <v>306259770</v>
      </c>
      <c r="G193" s="192">
        <f>E193+F193</f>
        <v>306259770</v>
      </c>
      <c r="H193" s="24">
        <f t="shared" si="65"/>
        <v>3.4028863333333335</v>
      </c>
      <c r="I193" s="207"/>
      <c r="J193" s="175"/>
    </row>
    <row r="194" spans="1:12" s="176" customFormat="1" x14ac:dyDescent="0.25">
      <c r="A194" s="188"/>
      <c r="B194" s="178"/>
      <c r="C194" s="185" t="s">
        <v>132</v>
      </c>
      <c r="D194" s="191">
        <f>SUM(D195:D197)</f>
        <v>732799800</v>
      </c>
      <c r="E194" s="191">
        <f t="shared" ref="E194:G194" si="77">SUM(E195:E197)</f>
        <v>187375000</v>
      </c>
      <c r="F194" s="191">
        <f t="shared" si="77"/>
        <v>151695000</v>
      </c>
      <c r="G194" s="191">
        <f t="shared" si="77"/>
        <v>339070000</v>
      </c>
      <c r="H194" s="236">
        <f t="shared" si="65"/>
        <v>0.46270482060721085</v>
      </c>
      <c r="I194" s="207"/>
      <c r="J194" s="175"/>
    </row>
    <row r="195" spans="1:12" s="176" customFormat="1" x14ac:dyDescent="0.25">
      <c r="A195" s="188"/>
      <c r="B195" s="178"/>
      <c r="C195" s="171" t="s">
        <v>133</v>
      </c>
      <c r="D195" s="192">
        <v>0</v>
      </c>
      <c r="E195" s="192">
        <f>'Realisasi Mei'!G195</f>
        <v>0</v>
      </c>
      <c r="F195" s="192"/>
      <c r="G195" s="192">
        <f>E195+F195</f>
        <v>0</v>
      </c>
      <c r="H195" s="24"/>
      <c r="I195" s="207"/>
      <c r="J195" s="175"/>
    </row>
    <row r="196" spans="1:12" s="176" customFormat="1" x14ac:dyDescent="0.25">
      <c r="A196" s="188"/>
      <c r="B196" s="178"/>
      <c r="C196" s="171" t="s">
        <v>134</v>
      </c>
      <c r="D196" s="192">
        <v>28000000</v>
      </c>
      <c r="E196" s="192">
        <f>'Realisasi Mei'!G196</f>
        <v>40300000</v>
      </c>
      <c r="F196" s="192">
        <v>6100000</v>
      </c>
      <c r="G196" s="192">
        <f t="shared" ref="G196:G197" si="78">E196+F196</f>
        <v>46400000</v>
      </c>
      <c r="H196" s="24">
        <f>G196/D196</f>
        <v>1.6571428571428573</v>
      </c>
      <c r="I196" s="207" t="s">
        <v>135</v>
      </c>
      <c r="J196" s="175"/>
    </row>
    <row r="197" spans="1:12" s="176" customFormat="1" x14ac:dyDescent="0.25">
      <c r="A197" s="188"/>
      <c r="B197" s="178"/>
      <c r="C197" s="171" t="s">
        <v>136</v>
      </c>
      <c r="D197" s="192">
        <v>704799800</v>
      </c>
      <c r="E197" s="192">
        <f>'Realisasi Mei'!G197</f>
        <v>147075000</v>
      </c>
      <c r="F197" s="192">
        <v>145595000</v>
      </c>
      <c r="G197" s="192">
        <f t="shared" si="78"/>
        <v>292670000</v>
      </c>
      <c r="H197" s="24">
        <f>G197/D197</f>
        <v>0.41525267175160946</v>
      </c>
      <c r="I197" s="207"/>
      <c r="J197" s="175"/>
    </row>
    <row r="198" spans="1:12" s="176" customFormat="1" x14ac:dyDescent="0.25">
      <c r="A198" s="188"/>
      <c r="B198" s="178"/>
      <c r="C198" s="185" t="s">
        <v>137</v>
      </c>
      <c r="D198" s="191">
        <f>SUM(D199:D200)</f>
        <v>187800000</v>
      </c>
      <c r="E198" s="191">
        <f t="shared" ref="E198:G198" si="79">SUM(E199:E200)</f>
        <v>146005905</v>
      </c>
      <c r="F198" s="191">
        <f t="shared" si="79"/>
        <v>32811209</v>
      </c>
      <c r="G198" s="191">
        <f t="shared" si="79"/>
        <v>178817114</v>
      </c>
      <c r="H198" s="236">
        <f>G198/D198</f>
        <v>0.95216780617678376</v>
      </c>
      <c r="I198" s="207"/>
      <c r="J198" s="175"/>
    </row>
    <row r="199" spans="1:12" s="176" customFormat="1" x14ac:dyDescent="0.25">
      <c r="A199" s="188"/>
      <c r="B199" s="178"/>
      <c r="C199" s="171" t="s">
        <v>138</v>
      </c>
      <c r="D199" s="192">
        <v>133800000</v>
      </c>
      <c r="E199" s="192">
        <f>'Realisasi Mei'!G199</f>
        <v>146005905</v>
      </c>
      <c r="F199" s="192">
        <v>32811209</v>
      </c>
      <c r="G199" s="192">
        <f>E199+F199</f>
        <v>178817114</v>
      </c>
      <c r="H199" s="24">
        <f>G199/D199</f>
        <v>1.3364507772795218</v>
      </c>
      <c r="I199" s="207" t="s">
        <v>139</v>
      </c>
      <c r="J199" s="175"/>
    </row>
    <row r="200" spans="1:12" s="176" customFormat="1" x14ac:dyDescent="0.25">
      <c r="A200" s="188"/>
      <c r="B200" s="178"/>
      <c r="C200" s="171" t="s">
        <v>140</v>
      </c>
      <c r="D200" s="192">
        <v>54000000</v>
      </c>
      <c r="E200" s="192">
        <f>'Realisasi Mei'!G200</f>
        <v>0</v>
      </c>
      <c r="F200" s="192"/>
      <c r="G200" s="192">
        <f>E200+F200</f>
        <v>0</v>
      </c>
      <c r="H200" s="24">
        <f>G200/D200</f>
        <v>0</v>
      </c>
      <c r="I200" s="207"/>
      <c r="J200" s="175"/>
    </row>
    <row r="201" spans="1:12" s="176" customFormat="1" x14ac:dyDescent="0.25">
      <c r="A201" s="188"/>
      <c r="B201" s="178"/>
      <c r="C201" s="171"/>
      <c r="D201" s="192"/>
      <c r="E201" s="192"/>
      <c r="F201" s="192"/>
      <c r="G201" s="191"/>
      <c r="H201" s="236"/>
      <c r="I201" s="207"/>
      <c r="J201" s="175"/>
    </row>
    <row r="202" spans="1:12" s="176" customFormat="1" x14ac:dyDescent="0.25">
      <c r="A202" s="168" t="s">
        <v>452</v>
      </c>
      <c r="B202" s="22" t="s">
        <v>306</v>
      </c>
      <c r="C202" s="185" t="s">
        <v>75</v>
      </c>
      <c r="D202" s="191">
        <f>SUM(D203)</f>
        <v>14496560466</v>
      </c>
      <c r="E202" s="191">
        <f t="shared" ref="E202:G202" si="80">SUM(E203)</f>
        <v>5513143436.3800001</v>
      </c>
      <c r="F202" s="191">
        <f t="shared" si="80"/>
        <v>1184620523.6300001</v>
      </c>
      <c r="G202" s="191">
        <f t="shared" si="80"/>
        <v>6697763960.0099993</v>
      </c>
      <c r="H202" s="236">
        <f t="shared" ref="H202:H214" si="81">G202/D202</f>
        <v>0.46202435230886851</v>
      </c>
      <c r="I202" s="207" t="s">
        <v>141</v>
      </c>
      <c r="J202" s="175"/>
    </row>
    <row r="203" spans="1:12" s="176" customFormat="1" x14ac:dyDescent="0.25">
      <c r="A203" s="188"/>
      <c r="B203" s="189" t="s">
        <v>340</v>
      </c>
      <c r="C203" s="185" t="s">
        <v>341</v>
      </c>
      <c r="D203" s="191">
        <f>D204</f>
        <v>14496560466</v>
      </c>
      <c r="E203" s="191">
        <f>E204</f>
        <v>5513143436.3800001</v>
      </c>
      <c r="F203" s="191">
        <f t="shared" ref="F203:G203" si="82">F204</f>
        <v>1184620523.6300001</v>
      </c>
      <c r="G203" s="191">
        <f t="shared" si="82"/>
        <v>6697763960.0099993</v>
      </c>
      <c r="H203" s="236">
        <f t="shared" si="81"/>
        <v>0.46202435230886851</v>
      </c>
      <c r="I203" s="207" t="s">
        <v>143</v>
      </c>
      <c r="J203" s="294"/>
      <c r="K203" s="295"/>
      <c r="L203" s="295"/>
    </row>
    <row r="204" spans="1:12" s="176" customFormat="1" x14ac:dyDescent="0.25">
      <c r="A204" s="188"/>
      <c r="B204" s="178"/>
      <c r="C204" s="172" t="s">
        <v>142</v>
      </c>
      <c r="D204" s="191">
        <f>SUM(D205:D214)</f>
        <v>14496560466</v>
      </c>
      <c r="E204" s="191">
        <f>SUM(E205:E214)</f>
        <v>5513143436.3800001</v>
      </c>
      <c r="F204" s="191">
        <f t="shared" ref="F204:G204" si="83">SUM(F205:F214)</f>
        <v>1184620523.6300001</v>
      </c>
      <c r="G204" s="191">
        <f t="shared" si="83"/>
        <v>6697763960.0099993</v>
      </c>
      <c r="H204" s="236">
        <f t="shared" si="81"/>
        <v>0.46202435230886851</v>
      </c>
      <c r="I204" s="207"/>
      <c r="J204" s="294"/>
      <c r="K204" s="295"/>
      <c r="L204" s="295"/>
    </row>
    <row r="205" spans="1:12" s="176" customFormat="1" x14ac:dyDescent="0.25">
      <c r="A205" s="188"/>
      <c r="B205" s="178"/>
      <c r="C205" s="171" t="s">
        <v>144</v>
      </c>
      <c r="D205" s="192">
        <v>1873243500</v>
      </c>
      <c r="E205" s="192">
        <f>'Realisasi Mei'!G205</f>
        <v>633736880.59000003</v>
      </c>
      <c r="F205" s="192">
        <v>136447872.41</v>
      </c>
      <c r="G205" s="192">
        <f>E205+F205</f>
        <v>770184753</v>
      </c>
      <c r="H205" s="24">
        <f t="shared" si="81"/>
        <v>0.41115036726405296</v>
      </c>
      <c r="I205" s="207" t="s">
        <v>145</v>
      </c>
      <c r="J205" s="294"/>
      <c r="K205" s="296"/>
      <c r="L205" s="295"/>
    </row>
    <row r="206" spans="1:12" s="176" customFormat="1" x14ac:dyDescent="0.25">
      <c r="A206" s="188"/>
      <c r="B206" s="178"/>
      <c r="C206" s="171" t="s">
        <v>146</v>
      </c>
      <c r="D206" s="192">
        <v>1100000000</v>
      </c>
      <c r="E206" s="192">
        <f>'Realisasi Mei'!G206</f>
        <v>395623255.65999997</v>
      </c>
      <c r="F206" s="192">
        <v>88973191.670000002</v>
      </c>
      <c r="G206" s="192">
        <f t="shared" ref="G206:G214" si="84">E206+F206</f>
        <v>484596447.32999998</v>
      </c>
      <c r="H206" s="24">
        <f t="shared" si="81"/>
        <v>0.44054222484545452</v>
      </c>
      <c r="I206" s="207"/>
      <c r="J206" s="294"/>
      <c r="K206" s="296"/>
      <c r="L206" s="295"/>
    </row>
    <row r="207" spans="1:12" s="176" customFormat="1" x14ac:dyDescent="0.25">
      <c r="A207" s="188"/>
      <c r="B207" s="178"/>
      <c r="C207" s="171" t="s">
        <v>147</v>
      </c>
      <c r="D207" s="192">
        <v>1400000000</v>
      </c>
      <c r="E207" s="192">
        <f>'Realisasi Mei'!G207</f>
        <v>494144056.76999998</v>
      </c>
      <c r="F207" s="192">
        <v>102753004.14</v>
      </c>
      <c r="G207" s="192">
        <f t="shared" si="84"/>
        <v>596897060.90999997</v>
      </c>
      <c r="H207" s="24">
        <f t="shared" si="81"/>
        <v>0.42635504350714282</v>
      </c>
      <c r="I207" s="207" t="s">
        <v>148</v>
      </c>
      <c r="J207" s="294"/>
      <c r="K207" s="296"/>
      <c r="L207" s="295"/>
    </row>
    <row r="208" spans="1:12" s="176" customFormat="1" x14ac:dyDescent="0.25">
      <c r="A208" s="188"/>
      <c r="B208" s="178"/>
      <c r="C208" s="171" t="s">
        <v>149</v>
      </c>
      <c r="D208" s="192">
        <v>2361598960</v>
      </c>
      <c r="E208" s="192">
        <f>'Realisasi Mei'!G208</f>
        <v>896268847.16000009</v>
      </c>
      <c r="F208" s="192">
        <v>208699086.52000001</v>
      </c>
      <c r="G208" s="192">
        <f t="shared" si="84"/>
        <v>1104967933.6800001</v>
      </c>
      <c r="H208" s="24">
        <f t="shared" si="81"/>
        <v>0.4678897443620148</v>
      </c>
      <c r="I208" s="207" t="s">
        <v>150</v>
      </c>
      <c r="J208" s="294"/>
      <c r="K208" s="296"/>
      <c r="L208" s="295"/>
    </row>
    <row r="209" spans="1:12" s="176" customFormat="1" x14ac:dyDescent="0.25">
      <c r="A209" s="188"/>
      <c r="B209" s="178"/>
      <c r="C209" s="171" t="s">
        <v>151</v>
      </c>
      <c r="D209" s="192">
        <v>922500000</v>
      </c>
      <c r="E209" s="192">
        <f>'Realisasi Mei'!G209</f>
        <v>365517388.76999998</v>
      </c>
      <c r="F209" s="181">
        <v>78266556.920000002</v>
      </c>
      <c r="G209" s="192">
        <f t="shared" si="84"/>
        <v>443783945.69</v>
      </c>
      <c r="H209" s="24">
        <f t="shared" si="81"/>
        <v>0.48106660779403793</v>
      </c>
      <c r="I209" s="207" t="s">
        <v>152</v>
      </c>
      <c r="J209" s="294"/>
      <c r="K209" s="296"/>
      <c r="L209" s="295"/>
    </row>
    <row r="210" spans="1:12" s="176" customFormat="1" x14ac:dyDescent="0.25">
      <c r="A210" s="188"/>
      <c r="B210" s="178"/>
      <c r="C210" s="171" t="s">
        <v>153</v>
      </c>
      <c r="D210" s="192">
        <v>1105404000</v>
      </c>
      <c r="E210" s="192">
        <f>'Realisasi Mei'!G210</f>
        <v>459631572.78000003</v>
      </c>
      <c r="F210" s="192">
        <v>94433242.859999999</v>
      </c>
      <c r="G210" s="192">
        <f t="shared" si="84"/>
        <v>554064815.63999999</v>
      </c>
      <c r="H210" s="24">
        <f t="shared" si="81"/>
        <v>0.50123286657185973</v>
      </c>
      <c r="I210" s="207"/>
      <c r="J210" s="294"/>
      <c r="K210" s="296"/>
      <c r="L210" s="295"/>
    </row>
    <row r="211" spans="1:12" s="176" customFormat="1" x14ac:dyDescent="0.25">
      <c r="A211" s="188"/>
      <c r="B211" s="178"/>
      <c r="C211" s="171" t="s">
        <v>154</v>
      </c>
      <c r="D211" s="192">
        <v>551536356</v>
      </c>
      <c r="E211" s="192">
        <f>'Realisasi Mei'!G211</f>
        <v>249260618.72000003</v>
      </c>
      <c r="F211" s="181">
        <v>50948964.219999999</v>
      </c>
      <c r="G211" s="192">
        <f t="shared" si="84"/>
        <v>300209582.94000006</v>
      </c>
      <c r="H211" s="24">
        <f t="shared" si="81"/>
        <v>0.54431512931851056</v>
      </c>
      <c r="I211" s="207" t="s">
        <v>155</v>
      </c>
      <c r="J211" s="294"/>
      <c r="K211" s="296"/>
      <c r="L211" s="295"/>
    </row>
    <row r="212" spans="1:12" s="176" customFormat="1" x14ac:dyDescent="0.25">
      <c r="A212" s="188"/>
      <c r="B212" s="178"/>
      <c r="C212" s="171" t="s">
        <v>156</v>
      </c>
      <c r="D212" s="192">
        <v>2380000000</v>
      </c>
      <c r="E212" s="192">
        <f>'Realisasi Mei'!G212</f>
        <v>974188672.30999994</v>
      </c>
      <c r="F212" s="181">
        <v>200791192.97999999</v>
      </c>
      <c r="G212" s="192">
        <f t="shared" si="84"/>
        <v>1174979865.29</v>
      </c>
      <c r="H212" s="24">
        <f t="shared" si="81"/>
        <v>0.49368901902941176</v>
      </c>
      <c r="I212" s="207" t="s">
        <v>157</v>
      </c>
      <c r="J212" s="294"/>
      <c r="K212" s="296"/>
      <c r="L212" s="295"/>
    </row>
    <row r="213" spans="1:12" s="176" customFormat="1" x14ac:dyDescent="0.25">
      <c r="A213" s="188"/>
      <c r="B213" s="178"/>
      <c r="C213" s="171" t="s">
        <v>158</v>
      </c>
      <c r="D213" s="192">
        <v>1048195000</v>
      </c>
      <c r="E213" s="192">
        <f>'Realisasi Mei'!G213</f>
        <v>443602593.87</v>
      </c>
      <c r="F213" s="192">
        <v>96084000.620000005</v>
      </c>
      <c r="G213" s="192">
        <f t="shared" si="84"/>
        <v>539686594.49000001</v>
      </c>
      <c r="H213" s="24">
        <f t="shared" si="81"/>
        <v>0.51487232288839391</v>
      </c>
      <c r="I213" s="207" t="s">
        <v>159</v>
      </c>
      <c r="J213" s="294"/>
      <c r="K213" s="296"/>
      <c r="L213" s="295"/>
    </row>
    <row r="214" spans="1:12" s="176" customFormat="1" x14ac:dyDescent="0.25">
      <c r="A214" s="188"/>
      <c r="B214" s="178"/>
      <c r="C214" s="171" t="s">
        <v>160</v>
      </c>
      <c r="D214" s="192">
        <v>1754082650</v>
      </c>
      <c r="E214" s="192">
        <f>'Realisasi Mei'!G214</f>
        <v>601169549.75</v>
      </c>
      <c r="F214" s="192">
        <v>127223411.29000001</v>
      </c>
      <c r="G214" s="192">
        <f t="shared" si="84"/>
        <v>728392961.03999996</v>
      </c>
      <c r="H214" s="24">
        <f t="shared" si="81"/>
        <v>0.41525578115717637</v>
      </c>
      <c r="I214" s="207" t="s">
        <v>161</v>
      </c>
      <c r="J214" s="294"/>
      <c r="K214" s="296"/>
      <c r="L214" s="295"/>
    </row>
    <row r="215" spans="1:12" s="176" customFormat="1" x14ac:dyDescent="0.25">
      <c r="A215" s="188"/>
      <c r="B215" s="178"/>
      <c r="C215" s="171"/>
      <c r="D215" s="192"/>
      <c r="E215" s="192"/>
      <c r="F215" s="192"/>
      <c r="G215" s="192"/>
      <c r="H215" s="24"/>
      <c r="I215" s="207"/>
      <c r="J215" s="294"/>
      <c r="K215" s="295"/>
      <c r="L215" s="295"/>
    </row>
    <row r="216" spans="1:12" s="176" customFormat="1" x14ac:dyDescent="0.25">
      <c r="A216" s="168" t="s">
        <v>591</v>
      </c>
      <c r="B216" s="22" t="s">
        <v>306</v>
      </c>
      <c r="C216" s="185" t="s">
        <v>75</v>
      </c>
      <c r="D216" s="196">
        <f t="shared" ref="D216:G219" si="85">D217</f>
        <v>167200000</v>
      </c>
      <c r="E216" s="196">
        <f t="shared" si="85"/>
        <v>44763873</v>
      </c>
      <c r="F216" s="196">
        <f t="shared" si="85"/>
        <v>10202251</v>
      </c>
      <c r="G216" s="196">
        <f t="shared" si="85"/>
        <v>54966124</v>
      </c>
      <c r="H216" s="236">
        <f>G216/D216</f>
        <v>0.32874476076555026</v>
      </c>
      <c r="I216" s="209"/>
      <c r="J216" s="294"/>
      <c r="K216" s="295"/>
      <c r="L216" s="295"/>
    </row>
    <row r="217" spans="1:12" s="176" customFormat="1" x14ac:dyDescent="0.25">
      <c r="A217" s="188"/>
      <c r="B217" s="189" t="s">
        <v>340</v>
      </c>
      <c r="C217" s="185" t="s">
        <v>341</v>
      </c>
      <c r="D217" s="196">
        <f t="shared" si="85"/>
        <v>167200000</v>
      </c>
      <c r="E217" s="196">
        <f t="shared" si="85"/>
        <v>44763873</v>
      </c>
      <c r="F217" s="196">
        <f t="shared" si="85"/>
        <v>10202251</v>
      </c>
      <c r="G217" s="196">
        <f t="shared" si="85"/>
        <v>54966124</v>
      </c>
      <c r="H217" s="236">
        <f>G217/D217</f>
        <v>0.32874476076555026</v>
      </c>
      <c r="I217" s="209"/>
      <c r="J217" s="294"/>
      <c r="K217" s="295"/>
      <c r="L217" s="295"/>
    </row>
    <row r="218" spans="1:12" s="176" customFormat="1" x14ac:dyDescent="0.25">
      <c r="A218" s="188"/>
      <c r="B218" s="22"/>
      <c r="C218" s="185" t="s">
        <v>76</v>
      </c>
      <c r="D218" s="196">
        <f t="shared" si="85"/>
        <v>167200000</v>
      </c>
      <c r="E218" s="196">
        <f t="shared" si="85"/>
        <v>44763873</v>
      </c>
      <c r="F218" s="196">
        <f t="shared" si="85"/>
        <v>10202251</v>
      </c>
      <c r="G218" s="196">
        <f t="shared" si="85"/>
        <v>54966124</v>
      </c>
      <c r="H218" s="236">
        <f>G218/D218</f>
        <v>0.32874476076555026</v>
      </c>
      <c r="I218" s="209"/>
      <c r="J218" s="294"/>
      <c r="K218" s="295"/>
      <c r="L218" s="295"/>
    </row>
    <row r="219" spans="1:12" s="176" customFormat="1" x14ac:dyDescent="0.25">
      <c r="A219" s="188"/>
      <c r="B219" s="178"/>
      <c r="C219" s="183" t="s">
        <v>77</v>
      </c>
      <c r="D219" s="191">
        <f t="shared" si="85"/>
        <v>167200000</v>
      </c>
      <c r="E219" s="191">
        <f t="shared" si="85"/>
        <v>44763873</v>
      </c>
      <c r="F219" s="191">
        <f t="shared" si="85"/>
        <v>10202251</v>
      </c>
      <c r="G219" s="191">
        <f t="shared" si="85"/>
        <v>54966124</v>
      </c>
      <c r="H219" s="236">
        <f>G219/D219</f>
        <v>0.32874476076555026</v>
      </c>
      <c r="I219" s="207"/>
      <c r="J219" s="294"/>
      <c r="K219" s="295"/>
      <c r="L219" s="295"/>
    </row>
    <row r="220" spans="1:12" s="176" customFormat="1" x14ac:dyDescent="0.25">
      <c r="A220" s="182"/>
      <c r="B220" s="177" t="s">
        <v>79</v>
      </c>
      <c r="C220" s="183" t="s">
        <v>80</v>
      </c>
      <c r="D220" s="192">
        <v>167200000</v>
      </c>
      <c r="E220" s="192">
        <f>'Realisasi Mei'!G220</f>
        <v>44763873</v>
      </c>
      <c r="F220" s="192">
        <v>10202251</v>
      </c>
      <c r="G220" s="192">
        <f>E220+F220</f>
        <v>54966124</v>
      </c>
      <c r="H220" s="24">
        <f>G220/D220</f>
        <v>0.32874476076555026</v>
      </c>
      <c r="I220" s="207" t="s">
        <v>78</v>
      </c>
      <c r="J220" s="294"/>
      <c r="K220" s="295"/>
      <c r="L220" s="295"/>
    </row>
    <row r="221" spans="1:12" s="176" customFormat="1" x14ac:dyDescent="0.25">
      <c r="A221" s="182"/>
      <c r="B221" s="177"/>
      <c r="C221" s="183"/>
      <c r="D221" s="192"/>
      <c r="E221" s="192"/>
      <c r="F221" s="192"/>
      <c r="G221" s="191"/>
      <c r="H221" s="24"/>
      <c r="I221" s="207"/>
      <c r="J221" s="294"/>
      <c r="K221" s="295"/>
      <c r="L221" s="295"/>
    </row>
    <row r="222" spans="1:12" s="187" customFormat="1" x14ac:dyDescent="0.25">
      <c r="A222" s="165" t="s">
        <v>627</v>
      </c>
      <c r="B222" s="179" t="s">
        <v>446</v>
      </c>
      <c r="C222" s="180" t="s">
        <v>447</v>
      </c>
      <c r="D222" s="191">
        <f>D223</f>
        <v>0</v>
      </c>
      <c r="E222" s="191"/>
      <c r="F222" s="191">
        <f>F223</f>
        <v>0</v>
      </c>
      <c r="G222" s="191">
        <f>G223</f>
        <v>0</v>
      </c>
      <c r="H222" s="236" t="e">
        <f>G222/D222</f>
        <v>#DIV/0!</v>
      </c>
      <c r="I222" s="216"/>
      <c r="J222" s="186"/>
    </row>
    <row r="223" spans="1:12" s="187" customFormat="1" x14ac:dyDescent="0.25">
      <c r="A223" s="254"/>
      <c r="B223" s="179" t="s">
        <v>448</v>
      </c>
      <c r="C223" s="180" t="s">
        <v>449</v>
      </c>
      <c r="D223" s="191">
        <f>SUM(D224:D226)</f>
        <v>0</v>
      </c>
      <c r="E223" s="191"/>
      <c r="F223" s="191">
        <f>SUM(F224:F226)</f>
        <v>0</v>
      </c>
      <c r="G223" s="191">
        <f>SUM(G224:G226)</f>
        <v>0</v>
      </c>
      <c r="H223" s="236" t="e">
        <f>G223/D223</f>
        <v>#DIV/0!</v>
      </c>
      <c r="I223" s="216"/>
      <c r="J223" s="186"/>
    </row>
    <row r="224" spans="1:12" s="176" customFormat="1" x14ac:dyDescent="0.25">
      <c r="A224" s="182"/>
      <c r="B224" s="178"/>
      <c r="C224" s="193" t="s">
        <v>450</v>
      </c>
      <c r="D224" s="192">
        <v>0</v>
      </c>
      <c r="E224" s="192">
        <f>'Realisasi April'!G221</f>
        <v>0</v>
      </c>
      <c r="F224" s="192"/>
      <c r="G224" s="192">
        <f>E224+F224</f>
        <v>0</v>
      </c>
      <c r="H224" s="252" t="e">
        <f>G224/D224</f>
        <v>#DIV/0!</v>
      </c>
      <c r="I224" s="207"/>
      <c r="J224" s="175"/>
    </row>
    <row r="225" spans="1:11" s="176" customFormat="1" x14ac:dyDescent="0.25">
      <c r="A225" s="182"/>
      <c r="B225" s="178"/>
      <c r="C225" s="193" t="s">
        <v>451</v>
      </c>
      <c r="D225" s="192">
        <v>0</v>
      </c>
      <c r="E225" s="192">
        <f>'Realisasi April'!G222</f>
        <v>0</v>
      </c>
      <c r="F225" s="192"/>
      <c r="G225" s="192">
        <f>E225+F225</f>
        <v>0</v>
      </c>
      <c r="H225" s="252" t="e">
        <f>G225/D225</f>
        <v>#DIV/0!</v>
      </c>
      <c r="I225" s="207"/>
      <c r="J225" s="175"/>
    </row>
    <row r="226" spans="1:11" s="176" customFormat="1" x14ac:dyDescent="0.25">
      <c r="A226" s="182"/>
      <c r="B226" s="178"/>
      <c r="C226" s="193"/>
      <c r="D226" s="192"/>
      <c r="E226" s="192"/>
      <c r="F226" s="192"/>
      <c r="G226" s="192"/>
      <c r="H226" s="252"/>
      <c r="I226" s="207"/>
      <c r="J226" s="175"/>
    </row>
    <row r="227" spans="1:11" s="176" customFormat="1" x14ac:dyDescent="0.25">
      <c r="A227" s="182"/>
      <c r="B227" s="36"/>
      <c r="C227" s="37"/>
      <c r="D227" s="192"/>
      <c r="E227" s="192"/>
      <c r="F227" s="192"/>
      <c r="G227" s="191"/>
      <c r="H227" s="236"/>
      <c r="I227" s="222"/>
      <c r="J227" s="175"/>
    </row>
    <row r="228" spans="1:11" s="176" customFormat="1" ht="24.75" customHeight="1" x14ac:dyDescent="0.25">
      <c r="A228" s="126" t="s">
        <v>163</v>
      </c>
      <c r="B228" s="128" t="s">
        <v>164</v>
      </c>
      <c r="C228" s="41" t="s">
        <v>268</v>
      </c>
      <c r="D228" s="42">
        <f>SUM(D229+D414)</f>
        <v>884375671064</v>
      </c>
      <c r="E228" s="42">
        <f>SUM(E229+E414)</f>
        <v>290519940721</v>
      </c>
      <c r="F228" s="42">
        <f>SUM(F229+F414)</f>
        <v>105656784110</v>
      </c>
      <c r="G228" s="42">
        <f>SUM(G229+G414)</f>
        <v>396176724831</v>
      </c>
      <c r="H228" s="237">
        <f t="shared" ref="H228:H233" si="86">G228/D228</f>
        <v>0.44797334186540472</v>
      </c>
      <c r="I228" s="223"/>
      <c r="J228" s="175"/>
      <c r="K228" s="270"/>
    </row>
    <row r="229" spans="1:11" s="176" customFormat="1" x14ac:dyDescent="0.25">
      <c r="A229" s="134" t="s">
        <v>416</v>
      </c>
      <c r="B229" s="135" t="s">
        <v>350</v>
      </c>
      <c r="C229" s="136" t="s">
        <v>351</v>
      </c>
      <c r="D229" s="137">
        <f>SUM(D230)</f>
        <v>768680341983</v>
      </c>
      <c r="E229" s="137">
        <f t="shared" ref="E229" si="87">SUM(E230)</f>
        <v>252915210198</v>
      </c>
      <c r="F229" s="137">
        <f>SUM(F230)</f>
        <v>105656784110</v>
      </c>
      <c r="G229" s="137">
        <f>SUM(G230)</f>
        <v>358571994308</v>
      </c>
      <c r="H229" s="238">
        <f t="shared" si="86"/>
        <v>0.46647738302110775</v>
      </c>
      <c r="I229" s="223"/>
      <c r="J229" s="175"/>
    </row>
    <row r="230" spans="1:11" s="176" customFormat="1" x14ac:dyDescent="0.25">
      <c r="A230" s="123" t="s">
        <v>89</v>
      </c>
      <c r="B230" s="133" t="s">
        <v>352</v>
      </c>
      <c r="C230" s="124" t="s">
        <v>165</v>
      </c>
      <c r="D230" s="125">
        <f>SUM(D231+D298+D300+D369)</f>
        <v>768680341983</v>
      </c>
      <c r="E230" s="125">
        <f>SUM(E231+E298+E300+E369)</f>
        <v>252915210198</v>
      </c>
      <c r="F230" s="125">
        <f>SUM(F231+F298+F300+F369)</f>
        <v>105656784110</v>
      </c>
      <c r="G230" s="125">
        <f>SUM(G231+G298+G300+G369)</f>
        <v>358571994308</v>
      </c>
      <c r="H230" s="239">
        <f t="shared" si="86"/>
        <v>0.46647738302110775</v>
      </c>
      <c r="I230" s="223"/>
      <c r="J230" s="175"/>
      <c r="K230" s="270"/>
    </row>
    <row r="231" spans="1:11" s="176" customFormat="1" x14ac:dyDescent="0.25">
      <c r="A231" s="138" t="s">
        <v>166</v>
      </c>
      <c r="B231" s="139" t="s">
        <v>353</v>
      </c>
      <c r="C231" s="140" t="s">
        <v>354</v>
      </c>
      <c r="D231" s="141">
        <f>SUM(D232+D265+D269+D273+D277+D281+D285+D290+D293+D263)</f>
        <v>154499794000</v>
      </c>
      <c r="E231" s="141">
        <f>SUM(E232+E265+E269+E273+E277+E281+E285+E290+E293)</f>
        <v>53586975100</v>
      </c>
      <c r="F231" s="141">
        <f>SUM(F232+F265+F269+F273+F277+F281+F285+F290+F293+F263)</f>
        <v>11403458640</v>
      </c>
      <c r="G231" s="141">
        <f>G232+G265+G269+G273+G277+G281+G285+G293+G263</f>
        <v>64990433740</v>
      </c>
      <c r="H231" s="240">
        <f t="shared" si="86"/>
        <v>0.42065061743706922</v>
      </c>
      <c r="I231" s="224"/>
      <c r="J231" s="175"/>
      <c r="K231" s="270"/>
    </row>
    <row r="232" spans="1:11" s="187" customFormat="1" x14ac:dyDescent="0.25">
      <c r="A232" s="184" t="s">
        <v>406</v>
      </c>
      <c r="B232" s="189" t="s">
        <v>355</v>
      </c>
      <c r="C232" s="185" t="s">
        <v>356</v>
      </c>
      <c r="D232" s="196">
        <f>D233+D243</f>
        <v>25228962000</v>
      </c>
      <c r="E232" s="196">
        <f>E233+E243+E263</f>
        <v>4914180500</v>
      </c>
      <c r="F232" s="196">
        <f>F233+F243</f>
        <v>4790185000</v>
      </c>
      <c r="G232" s="196">
        <f>G233+G243</f>
        <v>9704365500</v>
      </c>
      <c r="H232" s="236">
        <f t="shared" si="86"/>
        <v>0.38465179423552981</v>
      </c>
      <c r="I232" s="225" t="s">
        <v>167</v>
      </c>
      <c r="J232" s="186"/>
    </row>
    <row r="233" spans="1:11" s="187" customFormat="1" x14ac:dyDescent="0.25">
      <c r="A233" s="184"/>
      <c r="B233" s="189"/>
      <c r="C233" s="185" t="s">
        <v>633</v>
      </c>
      <c r="D233" s="196">
        <v>25228962000</v>
      </c>
      <c r="E233" s="196">
        <f>SUM(E234:E242)</f>
        <v>4914180500</v>
      </c>
      <c r="F233" s="196">
        <f>SUM(F234:F242)</f>
        <v>4790185000</v>
      </c>
      <c r="G233" s="196">
        <f>SUM(G234:G242)</f>
        <v>9704365500</v>
      </c>
      <c r="H233" s="236">
        <f t="shared" si="86"/>
        <v>0.38465179423552981</v>
      </c>
      <c r="I233" s="225"/>
      <c r="J233" s="186"/>
    </row>
    <row r="234" spans="1:11" s="187" customFormat="1" x14ac:dyDescent="0.25">
      <c r="A234" s="184"/>
      <c r="B234" s="190"/>
      <c r="C234" s="193" t="s">
        <v>453</v>
      </c>
      <c r="D234" s="181"/>
      <c r="E234" s="181">
        <f>'Realisasi Mei'!G234</f>
        <v>1082032500</v>
      </c>
      <c r="F234" s="181"/>
      <c r="G234" s="192">
        <f>E234+F234</f>
        <v>1082032500</v>
      </c>
      <c r="H234" s="24"/>
      <c r="I234" s="225"/>
      <c r="J234" s="186"/>
    </row>
    <row r="235" spans="1:11" s="187" customFormat="1" x14ac:dyDescent="0.25">
      <c r="A235" s="184"/>
      <c r="B235" s="190"/>
      <c r="C235" s="193" t="s">
        <v>454</v>
      </c>
      <c r="D235" s="181"/>
      <c r="E235" s="181">
        <f>'Realisasi Mei'!G235</f>
        <v>0</v>
      </c>
      <c r="F235" s="181"/>
      <c r="G235" s="192">
        <f t="shared" ref="G235:G242" si="88">E235+F235</f>
        <v>0</v>
      </c>
      <c r="H235" s="24"/>
      <c r="I235" s="225"/>
      <c r="J235" s="186"/>
    </row>
    <row r="236" spans="1:11" s="187" customFormat="1" x14ac:dyDescent="0.25">
      <c r="A236" s="184"/>
      <c r="B236" s="190"/>
      <c r="C236" s="193" t="s">
        <v>455</v>
      </c>
      <c r="D236" s="181"/>
      <c r="E236" s="181">
        <f>'Realisasi Mei'!G236</f>
        <v>0</v>
      </c>
      <c r="F236" s="181"/>
      <c r="G236" s="192">
        <f t="shared" si="88"/>
        <v>0</v>
      </c>
      <c r="H236" s="24"/>
      <c r="I236" s="225"/>
      <c r="J236" s="186"/>
    </row>
    <row r="237" spans="1:11" s="187" customFormat="1" x14ac:dyDescent="0.25">
      <c r="A237" s="184"/>
      <c r="B237" s="190"/>
      <c r="C237" s="193" t="s">
        <v>456</v>
      </c>
      <c r="D237" s="181"/>
      <c r="E237" s="181">
        <f>'Realisasi Mei'!G237</f>
        <v>3708530400</v>
      </c>
      <c r="F237" s="181">
        <v>4635663000</v>
      </c>
      <c r="G237" s="192">
        <f t="shared" si="88"/>
        <v>8344193400</v>
      </c>
      <c r="H237" s="24"/>
      <c r="I237" s="225"/>
      <c r="J237" s="186"/>
    </row>
    <row r="238" spans="1:11" s="187" customFormat="1" x14ac:dyDescent="0.25">
      <c r="A238" s="184"/>
      <c r="B238" s="190"/>
      <c r="C238" s="193" t="s">
        <v>457</v>
      </c>
      <c r="D238" s="181"/>
      <c r="E238" s="181">
        <f>'Realisasi Mei'!G238</f>
        <v>0</v>
      </c>
      <c r="F238" s="181"/>
      <c r="G238" s="192">
        <f t="shared" si="88"/>
        <v>0</v>
      </c>
      <c r="H238" s="24"/>
      <c r="I238" s="225"/>
      <c r="J238" s="186"/>
    </row>
    <row r="239" spans="1:11" s="187" customFormat="1" x14ac:dyDescent="0.25">
      <c r="A239" s="184"/>
      <c r="B239" s="190"/>
      <c r="C239" s="193" t="s">
        <v>458</v>
      </c>
      <c r="D239" s="181"/>
      <c r="E239" s="181">
        <f>'Realisasi Mei'!G239</f>
        <v>0</v>
      </c>
      <c r="F239" s="181"/>
      <c r="G239" s="192">
        <f t="shared" si="88"/>
        <v>0</v>
      </c>
      <c r="H239" s="24"/>
      <c r="I239" s="225"/>
      <c r="J239" s="186"/>
    </row>
    <row r="240" spans="1:11" s="187" customFormat="1" x14ac:dyDescent="0.25">
      <c r="A240" s="184"/>
      <c r="B240" s="190"/>
      <c r="C240" s="193" t="s">
        <v>459</v>
      </c>
      <c r="D240" s="181"/>
      <c r="E240" s="181">
        <f>'Realisasi Mei'!G240</f>
        <v>0</v>
      </c>
      <c r="F240" s="181"/>
      <c r="G240" s="192">
        <f t="shared" si="88"/>
        <v>0</v>
      </c>
      <c r="H240" s="24"/>
      <c r="I240" s="225"/>
      <c r="J240" s="186"/>
    </row>
    <row r="241" spans="1:10" s="187" customFormat="1" x14ac:dyDescent="0.25">
      <c r="A241" s="184"/>
      <c r="B241" s="190"/>
      <c r="C241" s="193" t="s">
        <v>460</v>
      </c>
      <c r="D241" s="181"/>
      <c r="E241" s="181">
        <f>'Realisasi Mei'!G241</f>
        <v>123617600</v>
      </c>
      <c r="F241" s="181">
        <v>154522000</v>
      </c>
      <c r="G241" s="192">
        <f t="shared" si="88"/>
        <v>278139600</v>
      </c>
      <c r="H241" s="24"/>
      <c r="I241" s="225"/>
      <c r="J241" s="186"/>
    </row>
    <row r="242" spans="1:10" s="187" customFormat="1" x14ac:dyDescent="0.25">
      <c r="A242" s="184"/>
      <c r="B242" s="190"/>
      <c r="C242" s="193" t="s">
        <v>461</v>
      </c>
      <c r="D242" s="181"/>
      <c r="E242" s="181">
        <f>'Realisasi Mei'!G242</f>
        <v>0</v>
      </c>
      <c r="F242" s="181"/>
      <c r="G242" s="192">
        <f t="shared" si="88"/>
        <v>0</v>
      </c>
      <c r="H242" s="24"/>
      <c r="I242" s="225"/>
      <c r="J242" s="186"/>
    </row>
    <row r="243" spans="1:10" s="187" customFormat="1" x14ac:dyDescent="0.25">
      <c r="A243" s="184"/>
      <c r="B243" s="190"/>
      <c r="C243" s="35" t="s">
        <v>519</v>
      </c>
      <c r="D243" s="196">
        <f>SUM(D244:D261)</f>
        <v>0</v>
      </c>
      <c r="E243" s="196">
        <f t="shared" ref="E243:G243" si="89">SUM(E244:E261)</f>
        <v>0</v>
      </c>
      <c r="F243" s="196">
        <f t="shared" si="89"/>
        <v>0</v>
      </c>
      <c r="G243" s="196">
        <f t="shared" si="89"/>
        <v>0</v>
      </c>
      <c r="H243" s="236" t="e">
        <f t="shared" ref="H243:H261" si="90">G243/D243</f>
        <v>#DIV/0!</v>
      </c>
      <c r="I243" s="225"/>
      <c r="J243" s="186"/>
    </row>
    <row r="244" spans="1:10" s="187" customFormat="1" x14ac:dyDescent="0.25">
      <c r="A244" s="184"/>
      <c r="B244" s="190"/>
      <c r="C244" s="193" t="s">
        <v>521</v>
      </c>
      <c r="D244" s="181"/>
      <c r="E244" s="181"/>
      <c r="F244" s="181"/>
      <c r="G244" s="192">
        <f>E244+F244</f>
        <v>0</v>
      </c>
      <c r="H244" s="24" t="e">
        <f t="shared" si="90"/>
        <v>#DIV/0!</v>
      </c>
      <c r="I244" s="225"/>
      <c r="J244" s="186"/>
    </row>
    <row r="245" spans="1:10" s="187" customFormat="1" x14ac:dyDescent="0.25">
      <c r="A245" s="184"/>
      <c r="B245" s="190"/>
      <c r="C245" s="193" t="s">
        <v>520</v>
      </c>
      <c r="D245" s="181"/>
      <c r="E245" s="181"/>
      <c r="F245" s="181"/>
      <c r="G245" s="192">
        <f t="shared" ref="G245:G261" si="91">E245+F245</f>
        <v>0</v>
      </c>
      <c r="H245" s="24" t="e">
        <f t="shared" si="90"/>
        <v>#DIV/0!</v>
      </c>
      <c r="I245" s="225"/>
      <c r="J245" s="186"/>
    </row>
    <row r="246" spans="1:10" s="187" customFormat="1" x14ac:dyDescent="0.25">
      <c r="A246" s="184"/>
      <c r="B246" s="190"/>
      <c r="C246" s="193" t="s">
        <v>522</v>
      </c>
      <c r="D246" s="181"/>
      <c r="E246" s="181"/>
      <c r="F246" s="181"/>
      <c r="G246" s="192">
        <f t="shared" si="91"/>
        <v>0</v>
      </c>
      <c r="H246" s="24" t="e">
        <f t="shared" si="90"/>
        <v>#DIV/0!</v>
      </c>
      <c r="I246" s="225"/>
      <c r="J246" s="186"/>
    </row>
    <row r="247" spans="1:10" s="187" customFormat="1" x14ac:dyDescent="0.25">
      <c r="A247" s="184"/>
      <c r="B247" s="190"/>
      <c r="C247" s="193" t="s">
        <v>523</v>
      </c>
      <c r="D247" s="181"/>
      <c r="E247" s="181"/>
      <c r="F247" s="181"/>
      <c r="G247" s="192">
        <f t="shared" si="91"/>
        <v>0</v>
      </c>
      <c r="H247" s="24" t="e">
        <f t="shared" si="90"/>
        <v>#DIV/0!</v>
      </c>
      <c r="I247" s="225"/>
      <c r="J247" s="186"/>
    </row>
    <row r="248" spans="1:10" s="187" customFormat="1" x14ac:dyDescent="0.25">
      <c r="A248" s="184"/>
      <c r="B248" s="190"/>
      <c r="C248" s="193" t="s">
        <v>524</v>
      </c>
      <c r="D248" s="181"/>
      <c r="E248" s="181"/>
      <c r="F248" s="181"/>
      <c r="G248" s="192">
        <f t="shared" si="91"/>
        <v>0</v>
      </c>
      <c r="H248" s="24" t="e">
        <f t="shared" si="90"/>
        <v>#DIV/0!</v>
      </c>
      <c r="I248" s="225"/>
      <c r="J248" s="186"/>
    </row>
    <row r="249" spans="1:10" s="187" customFormat="1" x14ac:dyDescent="0.25">
      <c r="A249" s="184"/>
      <c r="B249" s="190"/>
      <c r="C249" s="193" t="s">
        <v>525</v>
      </c>
      <c r="D249" s="181"/>
      <c r="E249" s="181"/>
      <c r="F249" s="181"/>
      <c r="G249" s="192">
        <f t="shared" si="91"/>
        <v>0</v>
      </c>
      <c r="H249" s="24" t="e">
        <f t="shared" si="90"/>
        <v>#DIV/0!</v>
      </c>
      <c r="I249" s="225"/>
      <c r="J249" s="186"/>
    </row>
    <row r="250" spans="1:10" s="187" customFormat="1" x14ac:dyDescent="0.25">
      <c r="A250" s="184"/>
      <c r="B250" s="190"/>
      <c r="C250" s="193" t="s">
        <v>526</v>
      </c>
      <c r="D250" s="181"/>
      <c r="E250" s="181"/>
      <c r="F250" s="181"/>
      <c r="G250" s="192">
        <f t="shared" si="91"/>
        <v>0</v>
      </c>
      <c r="H250" s="24" t="e">
        <f t="shared" si="90"/>
        <v>#DIV/0!</v>
      </c>
      <c r="I250" s="225"/>
      <c r="J250" s="186"/>
    </row>
    <row r="251" spans="1:10" s="187" customFormat="1" x14ac:dyDescent="0.25">
      <c r="A251" s="184"/>
      <c r="B251" s="190"/>
      <c r="C251" s="193" t="s">
        <v>527</v>
      </c>
      <c r="D251" s="181"/>
      <c r="E251" s="181"/>
      <c r="F251" s="181"/>
      <c r="G251" s="192">
        <f t="shared" si="91"/>
        <v>0</v>
      </c>
      <c r="H251" s="24" t="e">
        <f t="shared" si="90"/>
        <v>#DIV/0!</v>
      </c>
      <c r="I251" s="225"/>
      <c r="J251" s="186"/>
    </row>
    <row r="252" spans="1:10" s="187" customFormat="1" x14ac:dyDescent="0.25">
      <c r="A252" s="184"/>
      <c r="B252" s="190"/>
      <c r="C252" s="193" t="s">
        <v>528</v>
      </c>
      <c r="D252" s="181"/>
      <c r="E252" s="181"/>
      <c r="F252" s="181"/>
      <c r="G252" s="192">
        <f t="shared" si="91"/>
        <v>0</v>
      </c>
      <c r="H252" s="24" t="e">
        <f t="shared" si="90"/>
        <v>#DIV/0!</v>
      </c>
      <c r="I252" s="225"/>
      <c r="J252" s="186"/>
    </row>
    <row r="253" spans="1:10" s="187" customFormat="1" x14ac:dyDescent="0.25">
      <c r="A253" s="184"/>
      <c r="B253" s="190"/>
      <c r="C253" s="193" t="s">
        <v>567</v>
      </c>
      <c r="D253" s="181"/>
      <c r="E253" s="181"/>
      <c r="F253" s="181"/>
      <c r="G253" s="192">
        <f t="shared" si="91"/>
        <v>0</v>
      </c>
      <c r="H253" s="24" t="e">
        <f t="shared" si="90"/>
        <v>#DIV/0!</v>
      </c>
      <c r="I253" s="225"/>
      <c r="J253" s="186"/>
    </row>
    <row r="254" spans="1:10" s="187" customFormat="1" x14ac:dyDescent="0.25">
      <c r="A254" s="184"/>
      <c r="B254" s="190"/>
      <c r="C254" s="193" t="s">
        <v>568</v>
      </c>
      <c r="D254" s="181"/>
      <c r="E254" s="181"/>
      <c r="F254" s="181"/>
      <c r="G254" s="192">
        <f t="shared" si="91"/>
        <v>0</v>
      </c>
      <c r="H254" s="24" t="e">
        <f t="shared" si="90"/>
        <v>#DIV/0!</v>
      </c>
      <c r="I254" s="225"/>
      <c r="J254" s="186"/>
    </row>
    <row r="255" spans="1:10" s="187" customFormat="1" x14ac:dyDescent="0.25">
      <c r="A255" s="184"/>
      <c r="B255" s="190"/>
      <c r="C255" s="193" t="s">
        <v>569</v>
      </c>
      <c r="D255" s="181"/>
      <c r="E255" s="181"/>
      <c r="F255" s="181"/>
      <c r="G255" s="192">
        <f t="shared" si="91"/>
        <v>0</v>
      </c>
      <c r="H255" s="24" t="e">
        <f t="shared" si="90"/>
        <v>#DIV/0!</v>
      </c>
      <c r="I255" s="225"/>
      <c r="J255" s="186"/>
    </row>
    <row r="256" spans="1:10" s="187" customFormat="1" x14ac:dyDescent="0.25">
      <c r="A256" s="184"/>
      <c r="B256" s="190"/>
      <c r="C256" s="193" t="s">
        <v>570</v>
      </c>
      <c r="D256" s="181"/>
      <c r="E256" s="181"/>
      <c r="F256" s="181"/>
      <c r="G256" s="192">
        <f t="shared" si="91"/>
        <v>0</v>
      </c>
      <c r="H256" s="24" t="e">
        <f t="shared" si="90"/>
        <v>#DIV/0!</v>
      </c>
      <c r="I256" s="225"/>
      <c r="J256" s="186"/>
    </row>
    <row r="257" spans="1:10" s="187" customFormat="1" x14ac:dyDescent="0.25">
      <c r="A257" s="184"/>
      <c r="B257" s="190"/>
      <c r="C257" s="193" t="s">
        <v>571</v>
      </c>
      <c r="D257" s="181"/>
      <c r="E257" s="181"/>
      <c r="F257" s="181"/>
      <c r="G257" s="192">
        <f t="shared" si="91"/>
        <v>0</v>
      </c>
      <c r="H257" s="24" t="e">
        <f t="shared" si="90"/>
        <v>#DIV/0!</v>
      </c>
      <c r="I257" s="225"/>
      <c r="J257" s="186"/>
    </row>
    <row r="258" spans="1:10" s="187" customFormat="1" x14ac:dyDescent="0.25">
      <c r="A258" s="184"/>
      <c r="B258" s="190"/>
      <c r="C258" s="193" t="s">
        <v>572</v>
      </c>
      <c r="D258" s="181"/>
      <c r="E258" s="181"/>
      <c r="F258" s="181"/>
      <c r="G258" s="192">
        <f t="shared" si="91"/>
        <v>0</v>
      </c>
      <c r="H258" s="24" t="e">
        <f t="shared" si="90"/>
        <v>#DIV/0!</v>
      </c>
      <c r="I258" s="225"/>
      <c r="J258" s="186"/>
    </row>
    <row r="259" spans="1:10" s="187" customFormat="1" x14ac:dyDescent="0.25">
      <c r="A259" s="184"/>
      <c r="B259" s="190"/>
      <c r="C259" s="193" t="s">
        <v>573</v>
      </c>
      <c r="D259" s="181"/>
      <c r="E259" s="181"/>
      <c r="F259" s="181"/>
      <c r="G259" s="192">
        <f t="shared" si="91"/>
        <v>0</v>
      </c>
      <c r="H259" s="24" t="e">
        <f t="shared" si="90"/>
        <v>#DIV/0!</v>
      </c>
      <c r="I259" s="225"/>
      <c r="J259" s="186"/>
    </row>
    <row r="260" spans="1:10" s="187" customFormat="1" x14ac:dyDescent="0.25">
      <c r="A260" s="184"/>
      <c r="B260" s="190"/>
      <c r="C260" s="193" t="s">
        <v>574</v>
      </c>
      <c r="D260" s="181"/>
      <c r="E260" s="181"/>
      <c r="F260" s="181"/>
      <c r="G260" s="192">
        <f t="shared" si="91"/>
        <v>0</v>
      </c>
      <c r="H260" s="24" t="e">
        <f t="shared" si="90"/>
        <v>#DIV/0!</v>
      </c>
      <c r="I260" s="225"/>
      <c r="J260" s="186"/>
    </row>
    <row r="261" spans="1:10" s="187" customFormat="1" x14ac:dyDescent="0.25">
      <c r="A261" s="184"/>
      <c r="B261" s="190"/>
      <c r="C261" s="193" t="s">
        <v>575</v>
      </c>
      <c r="D261" s="181"/>
      <c r="E261" s="181"/>
      <c r="F261" s="181"/>
      <c r="G261" s="192">
        <f t="shared" si="91"/>
        <v>0</v>
      </c>
      <c r="H261" s="24" t="e">
        <f t="shared" si="90"/>
        <v>#DIV/0!</v>
      </c>
      <c r="I261" s="225"/>
      <c r="J261" s="186"/>
    </row>
    <row r="262" spans="1:10" s="187" customFormat="1" x14ac:dyDescent="0.25">
      <c r="A262" s="184"/>
      <c r="B262" s="190"/>
      <c r="C262" s="193"/>
      <c r="D262" s="181"/>
      <c r="E262" s="181"/>
      <c r="F262" s="181"/>
      <c r="G262" s="192"/>
      <c r="H262" s="24"/>
      <c r="I262" s="225"/>
      <c r="J262" s="186"/>
    </row>
    <row r="263" spans="1:10" s="187" customFormat="1" x14ac:dyDescent="0.25">
      <c r="A263" s="184"/>
      <c r="B263" s="190"/>
      <c r="C263" s="35" t="s">
        <v>688</v>
      </c>
      <c r="D263" s="196"/>
      <c r="E263" s="196"/>
      <c r="F263" s="196">
        <v>42840</v>
      </c>
      <c r="G263" s="191">
        <f>E263+F263</f>
        <v>42840</v>
      </c>
      <c r="H263" s="24"/>
      <c r="I263" s="225"/>
      <c r="J263" s="186"/>
    </row>
    <row r="264" spans="1:10" s="187" customFormat="1" x14ac:dyDescent="0.25">
      <c r="A264" s="184"/>
      <c r="B264" s="190"/>
      <c r="C264" s="183"/>
      <c r="D264" s="181"/>
      <c r="E264" s="181"/>
      <c r="F264" s="181"/>
      <c r="G264" s="192"/>
      <c r="H264" s="24"/>
      <c r="I264" s="225"/>
      <c r="J264" s="186"/>
    </row>
    <row r="265" spans="1:10" s="187" customFormat="1" x14ac:dyDescent="0.25">
      <c r="A265" s="184" t="s">
        <v>407</v>
      </c>
      <c r="B265" s="189" t="s">
        <v>357</v>
      </c>
      <c r="C265" s="185" t="s">
        <v>358</v>
      </c>
      <c r="D265" s="191">
        <v>25657034000</v>
      </c>
      <c r="E265" s="191">
        <f>SUM(E266:E267)</f>
        <v>5131406800</v>
      </c>
      <c r="F265" s="191">
        <f t="shared" ref="F265:G265" si="92">SUM(F266:F267)</f>
        <v>5131406800</v>
      </c>
      <c r="G265" s="191">
        <f t="shared" si="92"/>
        <v>10262813600</v>
      </c>
      <c r="H265" s="236">
        <f>G265/D265</f>
        <v>0.4</v>
      </c>
      <c r="I265" s="225" t="s">
        <v>167</v>
      </c>
      <c r="J265" s="186"/>
    </row>
    <row r="266" spans="1:10" s="187" customFormat="1" x14ac:dyDescent="0.25">
      <c r="A266" s="184"/>
      <c r="B266" s="190"/>
      <c r="C266" s="193" t="s">
        <v>650</v>
      </c>
      <c r="D266" s="192"/>
      <c r="E266" s="192">
        <f>'Realisasi Mei'!G264</f>
        <v>5131406800</v>
      </c>
      <c r="F266" s="192">
        <v>5131406800</v>
      </c>
      <c r="G266" s="192">
        <f>E266+F266</f>
        <v>10262813600</v>
      </c>
      <c r="H266" s="24" t="e">
        <f>G266/D266</f>
        <v>#DIV/0!</v>
      </c>
      <c r="I266" s="225"/>
      <c r="J266" s="186"/>
    </row>
    <row r="267" spans="1:10" s="187" customFormat="1" x14ac:dyDescent="0.25">
      <c r="A267" s="184"/>
      <c r="B267" s="190"/>
      <c r="C267" s="193" t="s">
        <v>651</v>
      </c>
      <c r="D267" s="192"/>
      <c r="E267" s="192">
        <f>'Realisasi April'!G262</f>
        <v>0</v>
      </c>
      <c r="F267" s="192"/>
      <c r="G267" s="192">
        <f t="shared" ref="G267" si="93">E267+F267</f>
        <v>0</v>
      </c>
      <c r="H267" s="24" t="e">
        <f>G267/D267</f>
        <v>#DIV/0!</v>
      </c>
      <c r="I267" s="225"/>
      <c r="J267" s="186"/>
    </row>
    <row r="268" spans="1:10" s="187" customFormat="1" x14ac:dyDescent="0.25">
      <c r="A268" s="184"/>
      <c r="B268" s="190"/>
      <c r="C268" s="183"/>
      <c r="D268" s="192"/>
      <c r="E268" s="192"/>
      <c r="F268" s="192"/>
      <c r="G268" s="192"/>
      <c r="H268" s="24"/>
      <c r="I268" s="225"/>
      <c r="J268" s="186"/>
    </row>
    <row r="269" spans="1:10" s="187" customFormat="1" x14ac:dyDescent="0.25">
      <c r="A269" s="184" t="s">
        <v>408</v>
      </c>
      <c r="B269" s="189" t="s">
        <v>359</v>
      </c>
      <c r="C269" s="185" t="s">
        <v>360</v>
      </c>
      <c r="D269" s="191">
        <v>1111004000</v>
      </c>
      <c r="E269" s="191">
        <f>SUM(E270:E271)</f>
        <v>222200800</v>
      </c>
      <c r="F269" s="191">
        <f>SUM(F270:F271)</f>
        <v>222200800</v>
      </c>
      <c r="G269" s="191">
        <f>SUM(G270:G271)</f>
        <v>444401600</v>
      </c>
      <c r="H269" s="236">
        <f>G269/D269</f>
        <v>0.4</v>
      </c>
      <c r="I269" s="225" t="s">
        <v>167</v>
      </c>
      <c r="J269" s="186"/>
    </row>
    <row r="270" spans="1:10" s="187" customFormat="1" x14ac:dyDescent="0.25">
      <c r="A270" s="184"/>
      <c r="B270" s="190"/>
      <c r="C270" s="193" t="s">
        <v>652</v>
      </c>
      <c r="D270" s="192"/>
      <c r="E270" s="192">
        <f>'Realisasi Mei'!G268</f>
        <v>222200800</v>
      </c>
      <c r="F270" s="192">
        <v>222200800</v>
      </c>
      <c r="G270" s="192">
        <f>E270+F270</f>
        <v>444401600</v>
      </c>
      <c r="H270" s="24" t="e">
        <f>G270/D270</f>
        <v>#DIV/0!</v>
      </c>
      <c r="I270" s="225"/>
      <c r="J270" s="186"/>
    </row>
    <row r="271" spans="1:10" s="187" customFormat="1" x14ac:dyDescent="0.25">
      <c r="A271" s="184"/>
      <c r="B271" s="190"/>
      <c r="C271" s="193" t="s">
        <v>653</v>
      </c>
      <c r="D271" s="192"/>
      <c r="E271" s="192">
        <f>'Realisasi April'!G266</f>
        <v>0</v>
      </c>
      <c r="F271" s="192"/>
      <c r="G271" s="192">
        <f t="shared" ref="G271" si="94">E271+F271</f>
        <v>0</v>
      </c>
      <c r="H271" s="24" t="e">
        <f>G271/D271</f>
        <v>#DIV/0!</v>
      </c>
      <c r="I271" s="225"/>
      <c r="J271" s="186"/>
    </row>
    <row r="272" spans="1:10" s="187" customFormat="1" x14ac:dyDescent="0.25">
      <c r="A272" s="184"/>
      <c r="B272" s="190"/>
      <c r="C272" s="183"/>
      <c r="D272" s="192"/>
      <c r="E272" s="192"/>
      <c r="F272" s="192"/>
      <c r="G272" s="192"/>
      <c r="H272" s="24"/>
      <c r="I272" s="225"/>
      <c r="J272" s="186"/>
    </row>
    <row r="273" spans="1:10" s="187" customFormat="1" x14ac:dyDescent="0.25">
      <c r="A273" s="184" t="s">
        <v>409</v>
      </c>
      <c r="B273" s="189" t="s">
        <v>405</v>
      </c>
      <c r="C273" s="185" t="s">
        <v>361</v>
      </c>
      <c r="D273" s="191">
        <v>90682864000</v>
      </c>
      <c r="E273" s="191">
        <f>SUM(E274:E275)</f>
        <v>39076182900</v>
      </c>
      <c r="F273" s="191">
        <f>SUM(F274:F275)</f>
        <v>0</v>
      </c>
      <c r="G273" s="191">
        <f>SUM(G274:G275)</f>
        <v>39076182900</v>
      </c>
      <c r="H273" s="236">
        <f>G273/D273</f>
        <v>0.43091033053389227</v>
      </c>
      <c r="I273" s="225" t="s">
        <v>167</v>
      </c>
      <c r="J273" s="186"/>
    </row>
    <row r="274" spans="1:10" s="187" customFormat="1" x14ac:dyDescent="0.25">
      <c r="A274" s="184"/>
      <c r="B274" s="190"/>
      <c r="C274" s="193" t="s">
        <v>654</v>
      </c>
      <c r="D274" s="192"/>
      <c r="E274" s="192">
        <f>'Realisasi Mei'!G272</f>
        <v>39076182900</v>
      </c>
      <c r="F274" s="192"/>
      <c r="G274" s="192">
        <f>E274+F274</f>
        <v>39076182900</v>
      </c>
      <c r="H274" s="24" t="e">
        <f>G274/D274</f>
        <v>#DIV/0!</v>
      </c>
      <c r="I274" s="225"/>
      <c r="J274" s="186"/>
    </row>
    <row r="275" spans="1:10" s="187" customFormat="1" x14ac:dyDescent="0.25">
      <c r="A275" s="184"/>
      <c r="B275" s="190"/>
      <c r="C275" s="193" t="s">
        <v>655</v>
      </c>
      <c r="D275" s="192"/>
      <c r="E275" s="192">
        <f>'Realisasi April'!G270</f>
        <v>0</v>
      </c>
      <c r="F275" s="192"/>
      <c r="G275" s="192">
        <f t="shared" ref="G275" si="95">E275+F275</f>
        <v>0</v>
      </c>
      <c r="H275" s="24" t="e">
        <f>G275/D275</f>
        <v>#DIV/0!</v>
      </c>
      <c r="I275" s="225"/>
      <c r="J275" s="186"/>
    </row>
    <row r="276" spans="1:10" s="187" customFormat="1" x14ac:dyDescent="0.25">
      <c r="A276" s="184"/>
      <c r="B276" s="190"/>
      <c r="C276" s="193"/>
      <c r="D276" s="192"/>
      <c r="E276" s="192"/>
      <c r="F276" s="192"/>
      <c r="G276" s="192"/>
      <c r="H276" s="24"/>
      <c r="I276" s="225"/>
      <c r="J276" s="186"/>
    </row>
    <row r="277" spans="1:10" s="187" customFormat="1" x14ac:dyDescent="0.25">
      <c r="A277" s="188" t="s">
        <v>410</v>
      </c>
      <c r="B277" s="189" t="s">
        <v>462</v>
      </c>
      <c r="C277" s="185" t="s">
        <v>463</v>
      </c>
      <c r="D277" s="191">
        <f>SUM(D278:D279)</f>
        <v>0</v>
      </c>
      <c r="E277" s="191">
        <f>SUM(E278:E279)</f>
        <v>1731105900</v>
      </c>
      <c r="F277" s="191">
        <f>SUM(F278:F279)</f>
        <v>0</v>
      </c>
      <c r="G277" s="191">
        <f t="shared" ref="G277" si="96">SUM(G278:G279)</f>
        <v>1731105900</v>
      </c>
      <c r="H277" s="236" t="e">
        <f>G277/D277</f>
        <v>#DIV/0!</v>
      </c>
      <c r="I277" s="225"/>
      <c r="J277" s="186"/>
    </row>
    <row r="278" spans="1:10" s="187" customFormat="1" x14ac:dyDescent="0.25">
      <c r="A278" s="188"/>
      <c r="B278" s="190"/>
      <c r="C278" s="193" t="s">
        <v>656</v>
      </c>
      <c r="D278" s="192">
        <v>0</v>
      </c>
      <c r="E278" s="192">
        <f>'Realisasi Mei'!G276</f>
        <v>1731105900</v>
      </c>
      <c r="F278" s="192"/>
      <c r="G278" s="192">
        <f>E278+F278</f>
        <v>1731105900</v>
      </c>
      <c r="H278" s="24" t="e">
        <f>G278/D278</f>
        <v>#DIV/0!</v>
      </c>
      <c r="I278" s="225"/>
      <c r="J278" s="186"/>
    </row>
    <row r="279" spans="1:10" s="187" customFormat="1" x14ac:dyDescent="0.25">
      <c r="A279" s="188"/>
      <c r="B279" s="190"/>
      <c r="C279" s="193" t="s">
        <v>657</v>
      </c>
      <c r="D279" s="192"/>
      <c r="E279" s="192">
        <f>'Realisasi April'!G274</f>
        <v>0</v>
      </c>
      <c r="F279" s="192"/>
      <c r="G279" s="192">
        <f>E279+F279</f>
        <v>0</v>
      </c>
      <c r="H279" s="24" t="e">
        <f>G279/D279</f>
        <v>#DIV/0!</v>
      </c>
      <c r="I279" s="225"/>
      <c r="J279" s="186"/>
    </row>
    <row r="280" spans="1:10" s="187" customFormat="1" x14ac:dyDescent="0.25">
      <c r="A280" s="188"/>
      <c r="B280" s="190"/>
      <c r="C280" s="193"/>
      <c r="D280" s="192"/>
      <c r="E280" s="192"/>
      <c r="F280" s="192"/>
      <c r="G280" s="192"/>
      <c r="H280" s="24"/>
      <c r="I280" s="225"/>
      <c r="J280" s="186"/>
    </row>
    <row r="281" spans="1:10" s="187" customFormat="1" x14ac:dyDescent="0.25">
      <c r="A281" s="188" t="s">
        <v>411</v>
      </c>
      <c r="B281" s="189" t="s">
        <v>362</v>
      </c>
      <c r="C281" s="185" t="s">
        <v>363</v>
      </c>
      <c r="D281" s="191">
        <v>1503616000</v>
      </c>
      <c r="E281" s="191">
        <f>SUM(E282:E283)</f>
        <v>676627200</v>
      </c>
      <c r="F281" s="191">
        <f t="shared" ref="F281:G281" si="97">SUM(F282:F283)</f>
        <v>0</v>
      </c>
      <c r="G281" s="191">
        <f t="shared" si="97"/>
        <v>676627200</v>
      </c>
      <c r="H281" s="236">
        <f>G281/D281</f>
        <v>0.45</v>
      </c>
      <c r="I281" s="225" t="s">
        <v>167</v>
      </c>
      <c r="J281" s="186"/>
    </row>
    <row r="282" spans="1:10" s="187" customFormat="1" x14ac:dyDescent="0.25">
      <c r="A282" s="188"/>
      <c r="B282" s="190"/>
      <c r="C282" s="193" t="s">
        <v>658</v>
      </c>
      <c r="D282" s="192"/>
      <c r="E282" s="192">
        <f>'Realisasi Mei'!G280</f>
        <v>676627200</v>
      </c>
      <c r="F282" s="192"/>
      <c r="G282" s="192">
        <f>E282+F282</f>
        <v>676627200</v>
      </c>
      <c r="H282" s="24" t="e">
        <f>G282/D282</f>
        <v>#DIV/0!</v>
      </c>
      <c r="I282" s="225"/>
      <c r="J282" s="186"/>
    </row>
    <row r="283" spans="1:10" s="187" customFormat="1" x14ac:dyDescent="0.25">
      <c r="A283" s="188"/>
      <c r="B283" s="190"/>
      <c r="C283" s="193" t="s">
        <v>659</v>
      </c>
      <c r="D283" s="192"/>
      <c r="E283" s="192">
        <f>'Realisasi April'!G278</f>
        <v>0</v>
      </c>
      <c r="F283" s="192"/>
      <c r="G283" s="192">
        <f>E283+F283</f>
        <v>0</v>
      </c>
      <c r="H283" s="24" t="e">
        <f>G283/D283</f>
        <v>#DIV/0!</v>
      </c>
      <c r="I283" s="225"/>
      <c r="J283" s="186"/>
    </row>
    <row r="284" spans="1:10" s="187" customFormat="1" x14ac:dyDescent="0.25">
      <c r="A284" s="188"/>
      <c r="B284" s="190"/>
      <c r="C284" s="193"/>
      <c r="D284" s="192"/>
      <c r="E284" s="192"/>
      <c r="F284" s="192"/>
      <c r="G284" s="192">
        <f t="shared" ref="G284" si="98">F284</f>
        <v>0</v>
      </c>
      <c r="H284" s="24"/>
      <c r="I284" s="225"/>
      <c r="J284" s="186"/>
    </row>
    <row r="285" spans="1:10" s="187" customFormat="1" x14ac:dyDescent="0.25">
      <c r="A285" s="188" t="s">
        <v>412</v>
      </c>
      <c r="B285" s="189" t="s">
        <v>364</v>
      </c>
      <c r="C285" s="185" t="s">
        <v>365</v>
      </c>
      <c r="D285" s="191">
        <v>8397488000</v>
      </c>
      <c r="E285" s="191">
        <f>E286+E287</f>
        <v>1259623200</v>
      </c>
      <c r="F285" s="191">
        <f t="shared" ref="F285:G285" si="99">F286+F287</f>
        <v>1259623200</v>
      </c>
      <c r="G285" s="191">
        <f t="shared" si="99"/>
        <v>2519246400</v>
      </c>
      <c r="H285" s="236">
        <f>G285/D285</f>
        <v>0.3</v>
      </c>
      <c r="I285" s="225" t="s">
        <v>167</v>
      </c>
      <c r="J285" s="186"/>
    </row>
    <row r="286" spans="1:10" s="187" customFormat="1" x14ac:dyDescent="0.25">
      <c r="A286" s="188"/>
      <c r="B286" s="190"/>
      <c r="C286" s="193" t="s">
        <v>660</v>
      </c>
      <c r="D286" s="192"/>
      <c r="E286" s="192">
        <f>'Realisasi Mei'!G284</f>
        <v>1259623200</v>
      </c>
      <c r="F286" s="192">
        <v>1259623200</v>
      </c>
      <c r="G286" s="192">
        <f>E286+F286</f>
        <v>2519246400</v>
      </c>
      <c r="H286" s="24" t="e">
        <f>G286/D286</f>
        <v>#DIV/0!</v>
      </c>
      <c r="I286" s="225"/>
      <c r="J286" s="186"/>
    </row>
    <row r="287" spans="1:10" s="187" customFormat="1" x14ac:dyDescent="0.25">
      <c r="A287" s="188"/>
      <c r="B287" s="190"/>
      <c r="C287" s="35" t="s">
        <v>529</v>
      </c>
      <c r="D287" s="191">
        <f>SUM(D288:D288)</f>
        <v>0</v>
      </c>
      <c r="E287" s="191"/>
      <c r="F287" s="191">
        <f>SUM(F288:F288)</f>
        <v>0</v>
      </c>
      <c r="G287" s="192">
        <f t="shared" ref="G287:G288" si="100">E287+F287</f>
        <v>0</v>
      </c>
      <c r="H287" s="236" t="e">
        <f>G287/D287</f>
        <v>#DIV/0!</v>
      </c>
      <c r="I287" s="225"/>
      <c r="J287" s="186"/>
    </row>
    <row r="288" spans="1:10" s="187" customFormat="1" x14ac:dyDescent="0.25">
      <c r="A288" s="188"/>
      <c r="B288" s="190"/>
      <c r="C288" s="193" t="s">
        <v>661</v>
      </c>
      <c r="D288" s="192"/>
      <c r="E288" s="192">
        <f>'Realisasi April'!G283</f>
        <v>0</v>
      </c>
      <c r="F288" s="192"/>
      <c r="G288" s="192">
        <f t="shared" si="100"/>
        <v>0</v>
      </c>
      <c r="H288" s="24" t="e">
        <f>G288/D288</f>
        <v>#DIV/0!</v>
      </c>
      <c r="I288" s="225"/>
      <c r="J288" s="186"/>
    </row>
    <row r="289" spans="1:10" s="187" customFormat="1" x14ac:dyDescent="0.25">
      <c r="A289" s="188"/>
      <c r="B289" s="190"/>
      <c r="C289" s="193"/>
      <c r="D289" s="192"/>
      <c r="E289" s="192"/>
      <c r="F289" s="192"/>
      <c r="G289" s="192"/>
      <c r="H289" s="24"/>
      <c r="I289" s="225"/>
      <c r="J289" s="186"/>
    </row>
    <row r="290" spans="1:10" s="187" customFormat="1" hidden="1" x14ac:dyDescent="0.25">
      <c r="A290" s="188" t="s">
        <v>464</v>
      </c>
      <c r="B290" s="189" t="s">
        <v>466</v>
      </c>
      <c r="C290" s="185" t="s">
        <v>467</v>
      </c>
      <c r="D290" s="191">
        <f>SUM(D291)</f>
        <v>0</v>
      </c>
      <c r="E290" s="191"/>
      <c r="F290" s="191">
        <f t="shared" ref="F290:G290" si="101">SUM(F291:F292)</f>
        <v>0</v>
      </c>
      <c r="G290" s="191" t="e">
        <f t="shared" si="101"/>
        <v>#REF!</v>
      </c>
      <c r="H290" s="24"/>
      <c r="I290" s="225"/>
      <c r="J290" s="186"/>
    </row>
    <row r="291" spans="1:10" s="187" customFormat="1" hidden="1" x14ac:dyDescent="0.25">
      <c r="A291" s="188"/>
      <c r="B291" s="190"/>
      <c r="C291" s="193" t="s">
        <v>487</v>
      </c>
      <c r="D291" s="192">
        <v>0</v>
      </c>
      <c r="E291" s="192"/>
      <c r="F291" s="192">
        <v>0</v>
      </c>
      <c r="G291" s="192" t="e">
        <f>#REF!+F291</f>
        <v>#REF!</v>
      </c>
      <c r="H291" s="24"/>
      <c r="I291" s="225"/>
      <c r="J291" s="186"/>
    </row>
    <row r="292" spans="1:10" s="187" customFormat="1" hidden="1" x14ac:dyDescent="0.25">
      <c r="A292" s="188"/>
      <c r="B292" s="190"/>
      <c r="C292" s="193"/>
      <c r="D292" s="192"/>
      <c r="E292" s="192"/>
      <c r="F292" s="192"/>
      <c r="G292" s="192"/>
      <c r="H292" s="24"/>
      <c r="I292" s="225"/>
      <c r="J292" s="186"/>
    </row>
    <row r="293" spans="1:10" s="187" customFormat="1" x14ac:dyDescent="0.25">
      <c r="A293" s="188" t="s">
        <v>465</v>
      </c>
      <c r="B293" s="189" t="s">
        <v>366</v>
      </c>
      <c r="C293" s="185" t="s">
        <v>367</v>
      </c>
      <c r="D293" s="191">
        <v>1918826000</v>
      </c>
      <c r="E293" s="191">
        <f>E294</f>
        <v>575647800</v>
      </c>
      <c r="F293" s="191">
        <f t="shared" ref="F293:G293" si="102">F294+F295</f>
        <v>0</v>
      </c>
      <c r="G293" s="191">
        <f t="shared" si="102"/>
        <v>575647800</v>
      </c>
      <c r="H293" s="236">
        <f>G293/D293</f>
        <v>0.3</v>
      </c>
      <c r="I293" s="225" t="s">
        <v>167</v>
      </c>
      <c r="J293" s="186"/>
    </row>
    <row r="294" spans="1:10" s="187" customFormat="1" x14ac:dyDescent="0.25">
      <c r="A294" s="188"/>
      <c r="B294" s="190"/>
      <c r="C294" s="193" t="s">
        <v>662</v>
      </c>
      <c r="D294" s="192"/>
      <c r="E294" s="192">
        <f>'Realisasi Mei'!G292</f>
        <v>575647800</v>
      </c>
      <c r="F294" s="192"/>
      <c r="G294" s="192">
        <f>E294+F294</f>
        <v>575647800</v>
      </c>
      <c r="H294" s="24" t="e">
        <f>G294/D294</f>
        <v>#DIV/0!</v>
      </c>
      <c r="I294" s="225"/>
      <c r="J294" s="186"/>
    </row>
    <row r="295" spans="1:10" s="187" customFormat="1" x14ac:dyDescent="0.25">
      <c r="A295" s="188"/>
      <c r="B295" s="190"/>
      <c r="C295" s="35" t="s">
        <v>530</v>
      </c>
      <c r="D295" s="191">
        <f>SUM(D296:D296)</f>
        <v>0</v>
      </c>
      <c r="E295" s="191"/>
      <c r="F295" s="191">
        <f>SUM(F296:F296)</f>
        <v>0</v>
      </c>
      <c r="G295" s="191">
        <f>SUM(G296:G296)</f>
        <v>0</v>
      </c>
      <c r="H295" s="236" t="e">
        <f>G295/D295</f>
        <v>#DIV/0!</v>
      </c>
      <c r="I295" s="225"/>
      <c r="J295" s="186"/>
    </row>
    <row r="296" spans="1:10" s="187" customFormat="1" x14ac:dyDescent="0.25">
      <c r="A296" s="188"/>
      <c r="B296" s="190"/>
      <c r="C296" s="193" t="s">
        <v>663</v>
      </c>
      <c r="D296" s="192"/>
      <c r="E296" s="192">
        <f>'Realisasi April'!G291</f>
        <v>0</v>
      </c>
      <c r="F296" s="192"/>
      <c r="G296" s="192">
        <f>E296+F296</f>
        <v>0</v>
      </c>
      <c r="H296" s="24" t="e">
        <f>G296/D296</f>
        <v>#DIV/0!</v>
      </c>
      <c r="I296" s="225"/>
      <c r="J296" s="186"/>
    </row>
    <row r="297" spans="1:10" s="176" customFormat="1" x14ac:dyDescent="0.25">
      <c r="A297" s="27"/>
      <c r="B297" s="178"/>
      <c r="C297" s="183"/>
      <c r="D297" s="192"/>
      <c r="E297" s="192"/>
      <c r="F297" s="192"/>
      <c r="G297" s="191"/>
      <c r="H297" s="236"/>
      <c r="I297" s="224"/>
      <c r="J297" s="175"/>
    </row>
    <row r="298" spans="1:10" s="176" customFormat="1" x14ac:dyDescent="0.25">
      <c r="A298" s="138" t="s">
        <v>169</v>
      </c>
      <c r="B298" s="139" t="s">
        <v>368</v>
      </c>
      <c r="C298" s="140" t="s">
        <v>369</v>
      </c>
      <c r="D298" s="142">
        <v>429554051000</v>
      </c>
      <c r="E298" s="142">
        <f>'Realisasi Mei'!G296</f>
        <v>177169056138</v>
      </c>
      <c r="F298" s="142">
        <f>35796170000+35796170000</f>
        <v>71592340000</v>
      </c>
      <c r="G298" s="141">
        <f>E298+F298</f>
        <v>248761396138</v>
      </c>
      <c r="H298" s="240">
        <f>G298/D298</f>
        <v>0.57911547000635788</v>
      </c>
      <c r="I298" s="225" t="s">
        <v>468</v>
      </c>
      <c r="J298" s="175"/>
    </row>
    <row r="299" spans="1:10" s="176" customFormat="1" x14ac:dyDescent="0.25">
      <c r="A299" s="27"/>
      <c r="B299" s="178"/>
      <c r="C299" s="39"/>
      <c r="D299" s="38"/>
      <c r="E299" s="38"/>
      <c r="F299" s="38"/>
      <c r="G299" s="38"/>
      <c r="H299" s="241"/>
      <c r="I299" s="225"/>
      <c r="J299" s="175"/>
    </row>
    <row r="300" spans="1:10" s="176" customFormat="1" x14ac:dyDescent="0.25">
      <c r="A300" s="138" t="s">
        <v>170</v>
      </c>
      <c r="B300" s="139" t="s">
        <v>370</v>
      </c>
      <c r="C300" s="140" t="s">
        <v>371</v>
      </c>
      <c r="D300" s="141">
        <f>SUM(D302+D354+D331)</f>
        <v>62721068973</v>
      </c>
      <c r="E300" s="141">
        <f t="shared" ref="E300:G300" si="103">SUM(E302+E354+E331)</f>
        <v>4124379500</v>
      </c>
      <c r="F300" s="141">
        <f t="shared" si="103"/>
        <v>7107998863</v>
      </c>
      <c r="G300" s="141">
        <f t="shared" si="103"/>
        <v>11232378363</v>
      </c>
      <c r="H300" s="240">
        <f>G300/D300</f>
        <v>0.17908461298443884</v>
      </c>
      <c r="I300" s="225" t="s">
        <v>469</v>
      </c>
      <c r="J300" s="175"/>
    </row>
    <row r="301" spans="1:10" s="176" customFormat="1" x14ac:dyDescent="0.25">
      <c r="A301" s="40"/>
      <c r="B301" s="22"/>
      <c r="C301" s="185"/>
      <c r="D301" s="191"/>
      <c r="E301" s="191"/>
      <c r="F301" s="191"/>
      <c r="G301" s="191"/>
      <c r="H301" s="236"/>
      <c r="I301" s="224"/>
      <c r="J301" s="175"/>
    </row>
    <row r="302" spans="1:10" s="176" customFormat="1" ht="38.25" customHeight="1" x14ac:dyDescent="0.25">
      <c r="A302" s="293"/>
      <c r="B302" s="262" t="s">
        <v>413</v>
      </c>
      <c r="C302" s="41" t="s">
        <v>171</v>
      </c>
      <c r="D302" s="42">
        <f>SUM(D309+D315+D317+D319+D321+D323+D325+D303+D328)</f>
        <v>62721068973</v>
      </c>
      <c r="E302" s="42">
        <f t="shared" ref="E302:F302" si="104">SUM(E309+E315+E317+E319+E321+E323+E325+E303+E328)</f>
        <v>4124379500</v>
      </c>
      <c r="F302" s="42">
        <f t="shared" si="104"/>
        <v>7107998863</v>
      </c>
      <c r="G302" s="42">
        <f>G303+G309+G319+G321+G325+G328</f>
        <v>11232378363</v>
      </c>
      <c r="H302" s="237">
        <f t="shared" ref="H302:H322" si="105">G302/D302</f>
        <v>0.17908461298443884</v>
      </c>
      <c r="I302" s="225" t="s">
        <v>470</v>
      </c>
      <c r="J302" s="175"/>
    </row>
    <row r="303" spans="1:10" s="176" customFormat="1" x14ac:dyDescent="0.25">
      <c r="A303" s="40"/>
      <c r="B303" s="43">
        <v>1</v>
      </c>
      <c r="C303" s="185" t="s">
        <v>172</v>
      </c>
      <c r="D303" s="191">
        <f>SUM(D304:D308)</f>
        <v>23287427000</v>
      </c>
      <c r="E303" s="191">
        <f t="shared" ref="E303:G303" si="106">SUM(E304:E308)</f>
        <v>4124379500</v>
      </c>
      <c r="F303" s="191">
        <f t="shared" si="106"/>
        <v>5036648000</v>
      </c>
      <c r="G303" s="191">
        <f t="shared" si="106"/>
        <v>9161027500</v>
      </c>
      <c r="H303" s="236">
        <f t="shared" si="105"/>
        <v>0.39338942425885004</v>
      </c>
      <c r="I303" s="225"/>
      <c r="J303" s="175"/>
    </row>
    <row r="304" spans="1:10" s="176" customFormat="1" x14ac:dyDescent="0.25">
      <c r="A304" s="40"/>
      <c r="B304" s="190" t="s">
        <v>531</v>
      </c>
      <c r="C304" s="193" t="s">
        <v>173</v>
      </c>
      <c r="D304" s="192">
        <v>1376396000</v>
      </c>
      <c r="E304" s="192">
        <f>'Realisasi Mei'!G302</f>
        <v>262849000</v>
      </c>
      <c r="F304" s="192"/>
      <c r="G304" s="192">
        <f>E304+F304</f>
        <v>262849000</v>
      </c>
      <c r="H304" s="24">
        <f t="shared" si="105"/>
        <v>0.19096902344964675</v>
      </c>
      <c r="I304" s="225" t="s">
        <v>471</v>
      </c>
      <c r="J304" s="175"/>
    </row>
    <row r="305" spans="1:10" s="176" customFormat="1" x14ac:dyDescent="0.25">
      <c r="A305" s="40"/>
      <c r="B305" s="190" t="s">
        <v>532</v>
      </c>
      <c r="C305" s="193" t="s">
        <v>174</v>
      </c>
      <c r="D305" s="192">
        <v>10775078000</v>
      </c>
      <c r="E305" s="192">
        <f>'Realisasi Mei'!G303</f>
        <v>1537519500</v>
      </c>
      <c r="F305" s="192">
        <v>4565763000</v>
      </c>
      <c r="G305" s="192">
        <f t="shared" ref="G305:G308" si="107">E305+F305</f>
        <v>6103282500</v>
      </c>
      <c r="H305" s="24">
        <f t="shared" si="105"/>
        <v>0.56642583004967573</v>
      </c>
      <c r="I305" s="225" t="s">
        <v>471</v>
      </c>
      <c r="J305" s="175"/>
    </row>
    <row r="306" spans="1:10" s="176" customFormat="1" x14ac:dyDescent="0.25">
      <c r="A306" s="40"/>
      <c r="B306" s="190" t="s">
        <v>533</v>
      </c>
      <c r="C306" s="193" t="s">
        <v>175</v>
      </c>
      <c r="D306" s="192">
        <v>10360454000</v>
      </c>
      <c r="E306" s="192">
        <f>'Realisasi Mei'!G304</f>
        <v>2324011000</v>
      </c>
      <c r="F306" s="192"/>
      <c r="G306" s="192">
        <f t="shared" si="107"/>
        <v>2324011000</v>
      </c>
      <c r="H306" s="24">
        <f t="shared" si="105"/>
        <v>0.22431555605574813</v>
      </c>
      <c r="I306" s="225" t="s">
        <v>471</v>
      </c>
      <c r="J306" s="175"/>
    </row>
    <row r="307" spans="1:10" s="176" customFormat="1" x14ac:dyDescent="0.25">
      <c r="A307" s="40"/>
      <c r="B307" s="190"/>
      <c r="C307" s="193" t="s">
        <v>684</v>
      </c>
      <c r="D307" s="192">
        <v>470885000</v>
      </c>
      <c r="E307" s="192"/>
      <c r="F307" s="192">
        <f>370885000+100000000</f>
        <v>470885000</v>
      </c>
      <c r="G307" s="192">
        <f t="shared" si="107"/>
        <v>470885000</v>
      </c>
      <c r="H307" s="24">
        <f t="shared" si="105"/>
        <v>1</v>
      </c>
      <c r="I307" s="225"/>
      <c r="J307" s="175"/>
    </row>
    <row r="308" spans="1:10" s="176" customFormat="1" x14ac:dyDescent="0.25">
      <c r="A308" s="40"/>
      <c r="B308" s="190" t="s">
        <v>534</v>
      </c>
      <c r="C308" s="193" t="s">
        <v>176</v>
      </c>
      <c r="D308" s="192">
        <v>304614000</v>
      </c>
      <c r="E308" s="192">
        <f>'Realisasi Mei'!G306</f>
        <v>0</v>
      </c>
      <c r="F308" s="192"/>
      <c r="G308" s="192">
        <f t="shared" si="107"/>
        <v>0</v>
      </c>
      <c r="H308" s="24">
        <f t="shared" si="105"/>
        <v>0</v>
      </c>
      <c r="I308" s="225" t="s">
        <v>471</v>
      </c>
      <c r="J308" s="175"/>
    </row>
    <row r="309" spans="1:10" s="176" customFormat="1" x14ac:dyDescent="0.25">
      <c r="A309" s="40"/>
      <c r="B309" s="43">
        <v>2</v>
      </c>
      <c r="C309" s="185" t="s">
        <v>177</v>
      </c>
      <c r="D309" s="191">
        <f>SUM(D310:D314)</f>
        <v>21101016973</v>
      </c>
      <c r="E309" s="191">
        <f t="shared" ref="E309:G309" si="108">SUM(E310:E314)</f>
        <v>0</v>
      </c>
      <c r="F309" s="191">
        <f t="shared" si="108"/>
        <v>236299613</v>
      </c>
      <c r="G309" s="191">
        <f t="shared" si="108"/>
        <v>236299613</v>
      </c>
      <c r="H309" s="236">
        <f t="shared" si="105"/>
        <v>1.1198494049000545E-2</v>
      </c>
      <c r="I309" s="225"/>
      <c r="J309" s="175"/>
    </row>
    <row r="310" spans="1:10" s="176" customFormat="1" x14ac:dyDescent="0.25">
      <c r="A310" s="40"/>
      <c r="B310" s="190" t="s">
        <v>535</v>
      </c>
      <c r="C310" s="193" t="s">
        <v>178</v>
      </c>
      <c r="D310" s="192"/>
      <c r="E310" s="192"/>
      <c r="F310" s="192"/>
      <c r="G310" s="192">
        <f>E310+F310</f>
        <v>0</v>
      </c>
      <c r="H310" s="24" t="e">
        <f t="shared" si="105"/>
        <v>#DIV/0!</v>
      </c>
      <c r="I310" s="225" t="s">
        <v>471</v>
      </c>
      <c r="J310" s="175"/>
    </row>
    <row r="311" spans="1:10" s="176" customFormat="1" x14ac:dyDescent="0.25">
      <c r="A311" s="40"/>
      <c r="B311" s="190" t="s">
        <v>536</v>
      </c>
      <c r="C311" s="193" t="s">
        <v>372</v>
      </c>
      <c r="D311" s="192"/>
      <c r="E311" s="192"/>
      <c r="F311" s="192"/>
      <c r="G311" s="192">
        <f t="shared" ref="G311:G322" si="109">E311+F311</f>
        <v>0</v>
      </c>
      <c r="H311" s="24" t="e">
        <f t="shared" si="105"/>
        <v>#DIV/0!</v>
      </c>
      <c r="I311" s="225" t="s">
        <v>471</v>
      </c>
      <c r="J311" s="175"/>
    </row>
    <row r="312" spans="1:10" s="176" customFormat="1" x14ac:dyDescent="0.25">
      <c r="A312" s="40"/>
      <c r="B312" s="190" t="s">
        <v>537</v>
      </c>
      <c r="C312" s="193" t="s">
        <v>179</v>
      </c>
      <c r="D312" s="192">
        <v>2892701000</v>
      </c>
      <c r="E312" s="192"/>
      <c r="F312" s="192">
        <v>236299613</v>
      </c>
      <c r="G312" s="192">
        <f t="shared" si="109"/>
        <v>236299613</v>
      </c>
      <c r="H312" s="24">
        <f t="shared" si="105"/>
        <v>8.1688225986716226E-2</v>
      </c>
      <c r="I312" s="225" t="s">
        <v>471</v>
      </c>
      <c r="J312" s="175"/>
    </row>
    <row r="313" spans="1:10" s="176" customFormat="1" x14ac:dyDescent="0.25">
      <c r="A313" s="40"/>
      <c r="B313" s="190" t="s">
        <v>538</v>
      </c>
      <c r="C313" s="193" t="s">
        <v>180</v>
      </c>
      <c r="D313" s="192">
        <v>12902970863</v>
      </c>
      <c r="E313" s="192"/>
      <c r="F313" s="192"/>
      <c r="G313" s="192">
        <f t="shared" si="109"/>
        <v>0</v>
      </c>
      <c r="H313" s="24">
        <f t="shared" si="105"/>
        <v>0</v>
      </c>
      <c r="I313" s="225" t="s">
        <v>471</v>
      </c>
      <c r="J313" s="175"/>
    </row>
    <row r="314" spans="1:10" s="176" customFormat="1" x14ac:dyDescent="0.25">
      <c r="A314" s="40"/>
      <c r="B314" s="190" t="s">
        <v>373</v>
      </c>
      <c r="C314" s="193" t="s">
        <v>181</v>
      </c>
      <c r="D314" s="192">
        <v>5305345110</v>
      </c>
      <c r="E314" s="192"/>
      <c r="F314" s="192"/>
      <c r="G314" s="192">
        <f t="shared" si="109"/>
        <v>0</v>
      </c>
      <c r="H314" s="24">
        <f t="shared" si="105"/>
        <v>0</v>
      </c>
      <c r="I314" s="225" t="s">
        <v>471</v>
      </c>
      <c r="J314" s="175"/>
    </row>
    <row r="315" spans="1:10" s="176" customFormat="1" hidden="1" x14ac:dyDescent="0.25">
      <c r="A315" s="40"/>
      <c r="B315" s="43">
        <v>3</v>
      </c>
      <c r="C315" s="185" t="s">
        <v>182</v>
      </c>
      <c r="D315" s="191">
        <f>SUM(D316:D316)</f>
        <v>0</v>
      </c>
      <c r="E315" s="191"/>
      <c r="F315" s="191"/>
      <c r="G315" s="192">
        <f t="shared" si="109"/>
        <v>0</v>
      </c>
      <c r="H315" s="24" t="e">
        <f t="shared" si="105"/>
        <v>#DIV/0!</v>
      </c>
      <c r="I315" s="224"/>
      <c r="J315" s="175"/>
    </row>
    <row r="316" spans="1:10" s="176" customFormat="1" hidden="1" x14ac:dyDescent="0.25">
      <c r="A316" s="40"/>
      <c r="B316" s="44"/>
      <c r="C316" s="193" t="s">
        <v>183</v>
      </c>
      <c r="D316" s="192">
        <v>0</v>
      </c>
      <c r="E316" s="192"/>
      <c r="F316" s="192"/>
      <c r="G316" s="192">
        <f t="shared" si="109"/>
        <v>0</v>
      </c>
      <c r="H316" s="24" t="e">
        <f t="shared" si="105"/>
        <v>#DIV/0!</v>
      </c>
      <c r="I316" s="223"/>
      <c r="J316" s="175"/>
    </row>
    <row r="317" spans="1:10" s="176" customFormat="1" hidden="1" x14ac:dyDescent="0.25">
      <c r="A317" s="40"/>
      <c r="B317" s="43">
        <v>4</v>
      </c>
      <c r="C317" s="185" t="s">
        <v>184</v>
      </c>
      <c r="D317" s="191">
        <f>SUM(D318:D318)</f>
        <v>0</v>
      </c>
      <c r="E317" s="191"/>
      <c r="F317" s="191"/>
      <c r="G317" s="192">
        <f t="shared" si="109"/>
        <v>0</v>
      </c>
      <c r="H317" s="24" t="e">
        <f t="shared" si="105"/>
        <v>#DIV/0!</v>
      </c>
      <c r="I317" s="223"/>
      <c r="J317" s="175"/>
    </row>
    <row r="318" spans="1:10" s="176" customFormat="1" hidden="1" x14ac:dyDescent="0.25">
      <c r="A318" s="40"/>
      <c r="B318" s="44"/>
      <c r="C318" s="193" t="s">
        <v>185</v>
      </c>
      <c r="D318" s="192">
        <v>0</v>
      </c>
      <c r="E318" s="192"/>
      <c r="F318" s="192"/>
      <c r="G318" s="192">
        <f t="shared" si="109"/>
        <v>0</v>
      </c>
      <c r="H318" s="24" t="e">
        <f t="shared" si="105"/>
        <v>#DIV/0!</v>
      </c>
      <c r="I318" s="223"/>
      <c r="J318" s="175"/>
    </row>
    <row r="319" spans="1:10" s="176" customFormat="1" x14ac:dyDescent="0.25">
      <c r="A319" s="40"/>
      <c r="B319" s="43">
        <v>3</v>
      </c>
      <c r="C319" s="35" t="s">
        <v>186</v>
      </c>
      <c r="D319" s="191">
        <f>SUM(D320:D320)</f>
        <v>4803838000</v>
      </c>
      <c r="E319" s="191">
        <f t="shared" ref="E319:G319" si="110">SUM(E320:E320)</f>
        <v>0</v>
      </c>
      <c r="F319" s="191">
        <f t="shared" si="110"/>
        <v>0</v>
      </c>
      <c r="G319" s="191">
        <f t="shared" si="110"/>
        <v>0</v>
      </c>
      <c r="H319" s="24">
        <f t="shared" si="105"/>
        <v>0</v>
      </c>
      <c r="I319" s="223"/>
      <c r="J319" s="175"/>
    </row>
    <row r="320" spans="1:10" s="176" customFormat="1" x14ac:dyDescent="0.25">
      <c r="A320" s="40"/>
      <c r="B320" s="190" t="s">
        <v>374</v>
      </c>
      <c r="C320" s="193" t="s">
        <v>187</v>
      </c>
      <c r="D320" s="192">
        <v>4803838000</v>
      </c>
      <c r="E320" s="192"/>
      <c r="F320" s="192"/>
      <c r="G320" s="192">
        <f t="shared" si="109"/>
        <v>0</v>
      </c>
      <c r="H320" s="24">
        <f t="shared" si="105"/>
        <v>0</v>
      </c>
      <c r="I320" s="225"/>
      <c r="J320" s="175"/>
    </row>
    <row r="321" spans="1:10" s="176" customFormat="1" x14ac:dyDescent="0.25">
      <c r="A321" s="40"/>
      <c r="B321" s="43">
        <v>4</v>
      </c>
      <c r="C321" s="185" t="s">
        <v>188</v>
      </c>
      <c r="D321" s="191">
        <f>SUM(D322)</f>
        <v>6188582000</v>
      </c>
      <c r="E321" s="191">
        <f t="shared" ref="E321:G321" si="111">SUM(E322)</f>
        <v>0</v>
      </c>
      <c r="F321" s="191">
        <f t="shared" si="111"/>
        <v>0</v>
      </c>
      <c r="G321" s="191">
        <f t="shared" si="111"/>
        <v>0</v>
      </c>
      <c r="H321" s="24">
        <f t="shared" si="105"/>
        <v>0</v>
      </c>
      <c r="I321" s="223"/>
      <c r="J321" s="175"/>
    </row>
    <row r="322" spans="1:10" s="176" customFormat="1" x14ac:dyDescent="0.25">
      <c r="A322" s="40"/>
      <c r="B322" s="190" t="s">
        <v>375</v>
      </c>
      <c r="C322" s="193" t="s">
        <v>189</v>
      </c>
      <c r="D322" s="192">
        <v>6188582000</v>
      </c>
      <c r="E322" s="192"/>
      <c r="F322" s="192"/>
      <c r="G322" s="192">
        <f t="shared" si="109"/>
        <v>0</v>
      </c>
      <c r="H322" s="24">
        <f t="shared" si="105"/>
        <v>0</v>
      </c>
      <c r="I322" s="225"/>
      <c r="J322" s="175"/>
    </row>
    <row r="323" spans="1:10" s="176" customFormat="1" hidden="1" x14ac:dyDescent="0.25">
      <c r="A323" s="40"/>
      <c r="B323" s="43">
        <v>5</v>
      </c>
      <c r="C323" s="185" t="s">
        <v>190</v>
      </c>
      <c r="D323" s="191">
        <f>SUM(D324)</f>
        <v>0</v>
      </c>
      <c r="E323" s="191"/>
      <c r="F323" s="191">
        <f>SUM(F324)</f>
        <v>0</v>
      </c>
      <c r="G323" s="192" t="e">
        <f>#REF!+F323</f>
        <v>#REF!</v>
      </c>
      <c r="H323" s="236">
        <v>0</v>
      </c>
      <c r="I323" s="224"/>
      <c r="J323" s="175"/>
    </row>
    <row r="324" spans="1:10" s="176" customFormat="1" hidden="1" x14ac:dyDescent="0.25">
      <c r="A324" s="40"/>
      <c r="B324" s="44"/>
      <c r="C324" s="193" t="s">
        <v>191</v>
      </c>
      <c r="D324" s="192">
        <v>0</v>
      </c>
      <c r="E324" s="192"/>
      <c r="F324" s="192">
        <v>0</v>
      </c>
      <c r="G324" s="192" t="e">
        <f>#REF!+F324</f>
        <v>#REF!</v>
      </c>
      <c r="H324" s="24">
        <v>0</v>
      </c>
      <c r="I324" s="223"/>
      <c r="J324" s="175"/>
    </row>
    <row r="325" spans="1:10" s="176" customFormat="1" x14ac:dyDescent="0.25">
      <c r="A325" s="40"/>
      <c r="B325" s="43">
        <v>5</v>
      </c>
      <c r="C325" s="185" t="s">
        <v>192</v>
      </c>
      <c r="D325" s="191">
        <f>SUM(D326:D327)</f>
        <v>0</v>
      </c>
      <c r="E325" s="191">
        <f t="shared" ref="E325:G325" si="112">SUM(E326:E327)</f>
        <v>0</v>
      </c>
      <c r="F325" s="191">
        <f t="shared" si="112"/>
        <v>0</v>
      </c>
      <c r="G325" s="191">
        <f t="shared" si="112"/>
        <v>0</v>
      </c>
      <c r="H325" s="236" t="e">
        <f>G325/D325</f>
        <v>#DIV/0!</v>
      </c>
      <c r="I325" s="223"/>
      <c r="J325" s="175"/>
    </row>
    <row r="326" spans="1:10" s="176" customFormat="1" x14ac:dyDescent="0.25">
      <c r="A326" s="40"/>
      <c r="B326" s="190" t="s">
        <v>539</v>
      </c>
      <c r="C326" s="193" t="s">
        <v>193</v>
      </c>
      <c r="D326" s="192"/>
      <c r="E326" s="192"/>
      <c r="F326" s="192"/>
      <c r="G326" s="192">
        <f>E326+F326</f>
        <v>0</v>
      </c>
      <c r="H326" s="24" t="e">
        <f>G326/D326</f>
        <v>#DIV/0!</v>
      </c>
      <c r="I326" s="225" t="s">
        <v>470</v>
      </c>
      <c r="J326" s="175"/>
    </row>
    <row r="327" spans="1:10" s="176" customFormat="1" x14ac:dyDescent="0.25">
      <c r="A327" s="40"/>
      <c r="B327" s="190" t="s">
        <v>540</v>
      </c>
      <c r="C327" s="193" t="s">
        <v>194</v>
      </c>
      <c r="D327" s="192"/>
      <c r="E327" s="192"/>
      <c r="F327" s="192"/>
      <c r="G327" s="192">
        <f>E327+F327</f>
        <v>0</v>
      </c>
      <c r="H327" s="24" t="e">
        <f>G327/D327</f>
        <v>#DIV/0!</v>
      </c>
      <c r="I327" s="225" t="s">
        <v>470</v>
      </c>
      <c r="J327" s="175"/>
    </row>
    <row r="328" spans="1:10" s="176" customFormat="1" x14ac:dyDescent="0.25">
      <c r="A328" s="40"/>
      <c r="B328" s="43">
        <v>6</v>
      </c>
      <c r="C328" s="170" t="s">
        <v>206</v>
      </c>
      <c r="D328" s="191">
        <f>D329</f>
        <v>7340205000</v>
      </c>
      <c r="E328" s="191">
        <f t="shared" ref="E328:G328" si="113">E329</f>
        <v>0</v>
      </c>
      <c r="F328" s="191">
        <f t="shared" si="113"/>
        <v>1835051250</v>
      </c>
      <c r="G328" s="191">
        <f t="shared" si="113"/>
        <v>1835051250</v>
      </c>
      <c r="H328" s="236">
        <f>G328/D328</f>
        <v>0.25</v>
      </c>
      <c r="I328" s="225"/>
      <c r="J328" s="175"/>
    </row>
    <row r="329" spans="1:10" s="176" customFormat="1" x14ac:dyDescent="0.25">
      <c r="A329" s="40"/>
      <c r="B329" s="190"/>
      <c r="C329" s="48" t="s">
        <v>210</v>
      </c>
      <c r="D329" s="192">
        <v>7340205000</v>
      </c>
      <c r="E329" s="192"/>
      <c r="F329" s="192">
        <v>1835051250</v>
      </c>
      <c r="G329" s="192">
        <f>E329+F329</f>
        <v>1835051250</v>
      </c>
      <c r="H329" s="24">
        <f>G329/D329</f>
        <v>0.25</v>
      </c>
      <c r="I329" s="225"/>
      <c r="J329" s="175"/>
    </row>
    <row r="330" spans="1:10" s="176" customFormat="1" x14ac:dyDescent="0.25">
      <c r="A330" s="40"/>
      <c r="B330" s="178"/>
      <c r="C330" s="183"/>
      <c r="D330" s="192"/>
      <c r="E330" s="192"/>
      <c r="F330" s="192"/>
      <c r="G330" s="191"/>
      <c r="H330" s="236"/>
      <c r="I330" s="224"/>
      <c r="J330" s="175"/>
    </row>
    <row r="331" spans="1:10" s="176" customFormat="1" ht="37.5" hidden="1" customHeight="1" x14ac:dyDescent="0.25">
      <c r="A331" s="293"/>
      <c r="B331" s="262" t="s">
        <v>414</v>
      </c>
      <c r="C331" s="45" t="s">
        <v>195</v>
      </c>
      <c r="D331" s="42">
        <f>SUM(D332+D341+D343+D345+D347+D349+D351)</f>
        <v>0</v>
      </c>
      <c r="E331" s="42"/>
      <c r="F331" s="42">
        <f t="shared" ref="F331:G331" si="114">SUM(F332+F341+F343+F345+F347+F349+F351)</f>
        <v>0</v>
      </c>
      <c r="G331" s="42">
        <f t="shared" si="114"/>
        <v>0</v>
      </c>
      <c r="H331" s="237" t="e">
        <f>G331/D331</f>
        <v>#DIV/0!</v>
      </c>
      <c r="I331" s="225" t="s">
        <v>469</v>
      </c>
      <c r="J331" s="175"/>
    </row>
    <row r="332" spans="1:10" s="176" customFormat="1" hidden="1" x14ac:dyDescent="0.25">
      <c r="A332" s="40"/>
      <c r="B332" s="43">
        <v>1</v>
      </c>
      <c r="C332" s="185" t="s">
        <v>177</v>
      </c>
      <c r="D332" s="191">
        <f>SUM(D334:D339)</f>
        <v>0</v>
      </c>
      <c r="E332" s="191">
        <f t="shared" ref="E332:G332" si="115">SUM(E334:E339)</f>
        <v>0</v>
      </c>
      <c r="F332" s="191">
        <f t="shared" si="115"/>
        <v>0</v>
      </c>
      <c r="G332" s="191">
        <f t="shared" si="115"/>
        <v>0</v>
      </c>
      <c r="H332" s="236" t="e">
        <f>G332/D332</f>
        <v>#DIV/0!</v>
      </c>
      <c r="I332" s="225"/>
      <c r="J332" s="175"/>
    </row>
    <row r="333" spans="1:10" s="176" customFormat="1" hidden="1" x14ac:dyDescent="0.25">
      <c r="A333" s="40"/>
      <c r="B333" s="44"/>
      <c r="C333" s="193" t="s">
        <v>196</v>
      </c>
      <c r="D333" s="192">
        <v>0</v>
      </c>
      <c r="E333" s="192"/>
      <c r="F333" s="192">
        <v>0</v>
      </c>
      <c r="G333" s="191" t="e">
        <f>#REF!+F333</f>
        <v>#REF!</v>
      </c>
      <c r="H333" s="24">
        <v>0</v>
      </c>
      <c r="I333" s="223"/>
      <c r="J333" s="175"/>
    </row>
    <row r="334" spans="1:10" s="176" customFormat="1" hidden="1" x14ac:dyDescent="0.25">
      <c r="A334" s="40"/>
      <c r="B334" s="190" t="s">
        <v>388</v>
      </c>
      <c r="C334" s="193" t="s">
        <v>197</v>
      </c>
      <c r="D334" s="192">
        <v>0</v>
      </c>
      <c r="E334" s="192"/>
      <c r="F334" s="192"/>
      <c r="G334" s="192">
        <f>E334+F334</f>
        <v>0</v>
      </c>
      <c r="H334" s="24"/>
      <c r="I334" s="225"/>
      <c r="J334" s="175"/>
    </row>
    <row r="335" spans="1:10" s="176" customFormat="1" ht="18" hidden="1" customHeight="1" x14ac:dyDescent="0.25">
      <c r="A335" s="40"/>
      <c r="B335" s="44"/>
      <c r="C335" s="193" t="s">
        <v>198</v>
      </c>
      <c r="D335" s="192"/>
      <c r="E335" s="192"/>
      <c r="F335" s="192"/>
      <c r="G335" s="192">
        <f t="shared" ref="G335:G339" si="116">E335+F335</f>
        <v>0</v>
      </c>
      <c r="H335" s="24"/>
      <c r="I335" s="223"/>
      <c r="J335" s="175"/>
    </row>
    <row r="336" spans="1:10" s="176" customFormat="1" hidden="1" x14ac:dyDescent="0.25">
      <c r="A336" s="40"/>
      <c r="B336" s="190" t="s">
        <v>389</v>
      </c>
      <c r="C336" s="193" t="s">
        <v>199</v>
      </c>
      <c r="D336" s="192">
        <v>0</v>
      </c>
      <c r="E336" s="192"/>
      <c r="F336" s="192"/>
      <c r="G336" s="192">
        <f t="shared" si="116"/>
        <v>0</v>
      </c>
      <c r="H336" s="24"/>
      <c r="I336" s="225"/>
      <c r="J336" s="175"/>
    </row>
    <row r="337" spans="1:10" s="176" customFormat="1" hidden="1" x14ac:dyDescent="0.25">
      <c r="A337" s="40"/>
      <c r="B337" s="44"/>
      <c r="C337" s="193" t="s">
        <v>200</v>
      </c>
      <c r="D337" s="192">
        <v>0</v>
      </c>
      <c r="E337" s="192"/>
      <c r="F337" s="192"/>
      <c r="G337" s="192">
        <f t="shared" si="116"/>
        <v>0</v>
      </c>
      <c r="H337" s="24">
        <v>0</v>
      </c>
      <c r="I337" s="223"/>
      <c r="J337" s="175"/>
    </row>
    <row r="338" spans="1:10" s="176" customFormat="1" hidden="1" x14ac:dyDescent="0.25">
      <c r="A338" s="40"/>
      <c r="B338" s="44"/>
      <c r="C338" s="193" t="s">
        <v>201</v>
      </c>
      <c r="D338" s="192">
        <v>0</v>
      </c>
      <c r="E338" s="192"/>
      <c r="F338" s="192"/>
      <c r="G338" s="192">
        <f t="shared" si="116"/>
        <v>0</v>
      </c>
      <c r="H338" s="24"/>
      <c r="I338" s="225"/>
      <c r="J338" s="175"/>
    </row>
    <row r="339" spans="1:10" s="176" customFormat="1" hidden="1" x14ac:dyDescent="0.25">
      <c r="A339" s="40"/>
      <c r="B339" s="190" t="s">
        <v>541</v>
      </c>
      <c r="C339" s="193" t="s">
        <v>390</v>
      </c>
      <c r="D339" s="192"/>
      <c r="E339" s="192"/>
      <c r="F339" s="192"/>
      <c r="G339" s="192">
        <f t="shared" si="116"/>
        <v>0</v>
      </c>
      <c r="H339" s="24" t="e">
        <f>G339/D339</f>
        <v>#DIV/0!</v>
      </c>
      <c r="I339" s="225" t="s">
        <v>470</v>
      </c>
      <c r="J339" s="175"/>
    </row>
    <row r="340" spans="1:10" s="176" customFormat="1" hidden="1" x14ac:dyDescent="0.25">
      <c r="A340" s="40"/>
      <c r="B340" s="44"/>
      <c r="C340" s="183"/>
      <c r="D340" s="192"/>
      <c r="E340" s="192"/>
      <c r="F340" s="192"/>
      <c r="G340" s="191"/>
      <c r="H340" s="24"/>
      <c r="I340" s="223"/>
      <c r="J340" s="175"/>
    </row>
    <row r="341" spans="1:10" s="176" customFormat="1" hidden="1" x14ac:dyDescent="0.25">
      <c r="A341" s="40"/>
      <c r="B341" s="43">
        <v>2</v>
      </c>
      <c r="C341" s="185" t="s">
        <v>202</v>
      </c>
      <c r="D341" s="191">
        <f>SUM(D342:D342)</f>
        <v>0</v>
      </c>
      <c r="E341" s="191"/>
      <c r="F341" s="191">
        <f t="shared" ref="F341:G341" si="117">SUM(F342:F342)</f>
        <v>0</v>
      </c>
      <c r="G341" s="191">
        <f t="shared" si="117"/>
        <v>0</v>
      </c>
      <c r="H341" s="236" t="e">
        <f t="shared" ref="H341:H352" si="118">G341/D341</f>
        <v>#DIV/0!</v>
      </c>
      <c r="I341" s="224"/>
      <c r="J341" s="175"/>
    </row>
    <row r="342" spans="1:10" s="176" customFormat="1" hidden="1" x14ac:dyDescent="0.25">
      <c r="A342" s="40"/>
      <c r="B342" s="190" t="s">
        <v>542</v>
      </c>
      <c r="C342" s="193" t="s">
        <v>391</v>
      </c>
      <c r="D342" s="192"/>
      <c r="E342" s="192"/>
      <c r="F342" s="192"/>
      <c r="G342" s="192">
        <f>E342+F342</f>
        <v>0</v>
      </c>
      <c r="H342" s="24" t="e">
        <f t="shared" si="118"/>
        <v>#DIV/0!</v>
      </c>
      <c r="I342" s="225" t="s">
        <v>470</v>
      </c>
      <c r="J342" s="175"/>
    </row>
    <row r="343" spans="1:10" s="176" customFormat="1" hidden="1" x14ac:dyDescent="0.25">
      <c r="A343" s="40"/>
      <c r="B343" s="43">
        <v>3</v>
      </c>
      <c r="C343" s="185" t="s">
        <v>203</v>
      </c>
      <c r="D343" s="191">
        <f>SUM(D344:D344)</f>
        <v>0</v>
      </c>
      <c r="E343" s="191"/>
      <c r="F343" s="191">
        <f t="shared" ref="F343:G343" si="119">SUM(F344:F344)</f>
        <v>0</v>
      </c>
      <c r="G343" s="191">
        <f t="shared" si="119"/>
        <v>0</v>
      </c>
      <c r="H343" s="236" t="e">
        <f t="shared" si="118"/>
        <v>#DIV/0!</v>
      </c>
      <c r="I343" s="224"/>
      <c r="J343" s="175"/>
    </row>
    <row r="344" spans="1:10" s="176" customFormat="1" hidden="1" x14ac:dyDescent="0.25">
      <c r="A344" s="40"/>
      <c r="B344" s="190" t="s">
        <v>543</v>
      </c>
      <c r="C344" s="193" t="s">
        <v>392</v>
      </c>
      <c r="D344" s="192"/>
      <c r="E344" s="192"/>
      <c r="F344" s="192"/>
      <c r="G344" s="192">
        <f>E344+F344</f>
        <v>0</v>
      </c>
      <c r="H344" s="24" t="e">
        <f t="shared" si="118"/>
        <v>#DIV/0!</v>
      </c>
      <c r="I344" s="225" t="s">
        <v>469</v>
      </c>
      <c r="J344" s="175"/>
    </row>
    <row r="345" spans="1:10" s="176" customFormat="1" hidden="1" x14ac:dyDescent="0.25">
      <c r="A345" s="40"/>
      <c r="B345" s="43">
        <v>4</v>
      </c>
      <c r="C345" s="185" t="s">
        <v>192</v>
      </c>
      <c r="D345" s="191">
        <f>SUM(D346)</f>
        <v>0</v>
      </c>
      <c r="E345" s="191"/>
      <c r="F345" s="191">
        <f t="shared" ref="F345:G345" si="120">SUM(F346)</f>
        <v>0</v>
      </c>
      <c r="G345" s="191">
        <f t="shared" si="120"/>
        <v>0</v>
      </c>
      <c r="H345" s="236" t="e">
        <f t="shared" si="118"/>
        <v>#DIV/0!</v>
      </c>
      <c r="I345" s="224"/>
      <c r="J345" s="175"/>
    </row>
    <row r="346" spans="1:10" s="176" customFormat="1" hidden="1" x14ac:dyDescent="0.25">
      <c r="A346" s="40"/>
      <c r="B346" s="190" t="s">
        <v>544</v>
      </c>
      <c r="C346" s="47" t="s">
        <v>393</v>
      </c>
      <c r="D346" s="192"/>
      <c r="E346" s="192"/>
      <c r="F346" s="192"/>
      <c r="G346" s="192">
        <f>E346+F346</f>
        <v>0</v>
      </c>
      <c r="H346" s="24" t="e">
        <f t="shared" si="118"/>
        <v>#DIV/0!</v>
      </c>
      <c r="I346" s="225" t="s">
        <v>469</v>
      </c>
      <c r="J346" s="175"/>
    </row>
    <row r="347" spans="1:10" s="176" customFormat="1" hidden="1" x14ac:dyDescent="0.25">
      <c r="A347" s="40"/>
      <c r="B347" s="43">
        <v>5</v>
      </c>
      <c r="C347" s="185" t="s">
        <v>204</v>
      </c>
      <c r="D347" s="191">
        <f>SUM(D348:D348)</f>
        <v>0</v>
      </c>
      <c r="E347" s="191"/>
      <c r="F347" s="191">
        <f t="shared" ref="F347:G347" si="121">SUM(F348:F348)</f>
        <v>0</v>
      </c>
      <c r="G347" s="191">
        <f t="shared" si="121"/>
        <v>0</v>
      </c>
      <c r="H347" s="236" t="e">
        <f t="shared" si="118"/>
        <v>#DIV/0!</v>
      </c>
      <c r="I347" s="223"/>
      <c r="J347" s="175"/>
    </row>
    <row r="348" spans="1:10" s="176" customFormat="1" hidden="1" x14ac:dyDescent="0.25">
      <c r="A348" s="40"/>
      <c r="B348" s="190" t="s">
        <v>545</v>
      </c>
      <c r="C348" s="47" t="s">
        <v>394</v>
      </c>
      <c r="D348" s="192"/>
      <c r="E348" s="192"/>
      <c r="F348" s="192"/>
      <c r="G348" s="192">
        <f>E348+F348</f>
        <v>0</v>
      </c>
      <c r="H348" s="24" t="e">
        <f t="shared" si="118"/>
        <v>#DIV/0!</v>
      </c>
      <c r="I348" s="225"/>
      <c r="J348" s="175"/>
    </row>
    <row r="349" spans="1:10" s="176" customFormat="1" hidden="1" x14ac:dyDescent="0.25">
      <c r="A349" s="40"/>
      <c r="B349" s="43">
        <v>6</v>
      </c>
      <c r="C349" s="185" t="s">
        <v>205</v>
      </c>
      <c r="D349" s="191">
        <f>SUM(D350:D350)</f>
        <v>0</v>
      </c>
      <c r="E349" s="191">
        <f t="shared" ref="E349:G349" si="122">SUM(E350:E350)</f>
        <v>0</v>
      </c>
      <c r="F349" s="191">
        <f t="shared" si="122"/>
        <v>0</v>
      </c>
      <c r="G349" s="191">
        <f t="shared" si="122"/>
        <v>0</v>
      </c>
      <c r="H349" s="253" t="e">
        <f t="shared" si="118"/>
        <v>#DIV/0!</v>
      </c>
      <c r="I349" s="223"/>
      <c r="J349" s="175"/>
    </row>
    <row r="350" spans="1:10" s="176" customFormat="1" hidden="1" x14ac:dyDescent="0.25">
      <c r="A350" s="40"/>
      <c r="B350" s="190" t="s">
        <v>376</v>
      </c>
      <c r="C350" s="48" t="s">
        <v>395</v>
      </c>
      <c r="D350" s="192">
        <v>0</v>
      </c>
      <c r="E350" s="192"/>
      <c r="F350" s="192"/>
      <c r="G350" s="192">
        <f>E350+F350</f>
        <v>0</v>
      </c>
      <c r="H350" s="252" t="e">
        <f t="shared" si="118"/>
        <v>#DIV/0!</v>
      </c>
      <c r="I350" s="225"/>
      <c r="J350" s="175"/>
    </row>
    <row r="351" spans="1:10" s="176" customFormat="1" hidden="1" x14ac:dyDescent="0.25">
      <c r="A351" s="40"/>
      <c r="B351" s="46">
        <v>7</v>
      </c>
      <c r="C351" s="170" t="s">
        <v>206</v>
      </c>
      <c r="D351" s="191">
        <f>D352</f>
        <v>0</v>
      </c>
      <c r="E351" s="191"/>
      <c r="F351" s="191">
        <f t="shared" ref="F351:G351" si="123">F352</f>
        <v>0</v>
      </c>
      <c r="G351" s="191">
        <f t="shared" si="123"/>
        <v>0</v>
      </c>
      <c r="H351" s="236" t="e">
        <f t="shared" si="118"/>
        <v>#DIV/0!</v>
      </c>
      <c r="I351" s="225"/>
      <c r="J351" s="175"/>
    </row>
    <row r="352" spans="1:10" s="176" customFormat="1" hidden="1" x14ac:dyDescent="0.25">
      <c r="A352" s="40"/>
      <c r="B352" s="190" t="s">
        <v>546</v>
      </c>
      <c r="C352" s="48" t="s">
        <v>207</v>
      </c>
      <c r="D352" s="192"/>
      <c r="E352" s="192"/>
      <c r="F352" s="192"/>
      <c r="G352" s="192">
        <f>E352+F352</f>
        <v>0</v>
      </c>
      <c r="H352" s="24" t="e">
        <f t="shared" si="118"/>
        <v>#DIV/0!</v>
      </c>
      <c r="I352" s="225" t="s">
        <v>469</v>
      </c>
      <c r="J352" s="175"/>
    </row>
    <row r="353" spans="1:10" s="176" customFormat="1" hidden="1" x14ac:dyDescent="0.25">
      <c r="A353" s="40"/>
      <c r="B353" s="46"/>
      <c r="C353" s="49"/>
      <c r="D353" s="50"/>
      <c r="E353" s="50"/>
      <c r="F353" s="50"/>
      <c r="G353" s="191"/>
      <c r="H353" s="236"/>
      <c r="I353" s="223"/>
      <c r="J353" s="175"/>
    </row>
    <row r="354" spans="1:10" s="176" customFormat="1" ht="36.75" hidden="1" customHeight="1" x14ac:dyDescent="0.25">
      <c r="A354" s="293"/>
      <c r="B354" s="262" t="s">
        <v>415</v>
      </c>
      <c r="C354" s="41" t="s">
        <v>208</v>
      </c>
      <c r="D354" s="42">
        <f>SUM(D355+D357+D359+D362+D364+D366)</f>
        <v>0</v>
      </c>
      <c r="E354" s="42"/>
      <c r="F354" s="42">
        <f>SUM(F355+F357+F359+F362+F364+F366)</f>
        <v>0</v>
      </c>
      <c r="G354" s="42">
        <f t="shared" ref="G354:G367" si="124">F354-D354</f>
        <v>0</v>
      </c>
      <c r="H354" s="237"/>
      <c r="I354" s="226"/>
      <c r="J354" s="175"/>
    </row>
    <row r="355" spans="1:10" s="176" customFormat="1" hidden="1" x14ac:dyDescent="0.25">
      <c r="A355" s="40"/>
      <c r="B355" s="51">
        <v>1</v>
      </c>
      <c r="C355" s="35" t="s">
        <v>209</v>
      </c>
      <c r="D355" s="191">
        <f>SUM(D356:D356)</f>
        <v>0</v>
      </c>
      <c r="E355" s="191"/>
      <c r="F355" s="191">
        <f>SUM(F356:F356)</f>
        <v>0</v>
      </c>
      <c r="G355" s="191">
        <f t="shared" si="124"/>
        <v>0</v>
      </c>
      <c r="H355" s="236"/>
      <c r="I355" s="224"/>
      <c r="J355" s="175"/>
    </row>
    <row r="356" spans="1:10" s="176" customFormat="1" hidden="1" x14ac:dyDescent="0.25">
      <c r="A356" s="40"/>
      <c r="B356" s="190" t="s">
        <v>380</v>
      </c>
      <c r="C356" s="193" t="s">
        <v>210</v>
      </c>
      <c r="D356" s="192">
        <v>0</v>
      </c>
      <c r="E356" s="192"/>
      <c r="F356" s="192">
        <v>0</v>
      </c>
      <c r="G356" s="192">
        <f t="shared" si="124"/>
        <v>0</v>
      </c>
      <c r="H356" s="24"/>
      <c r="I356" s="225"/>
      <c r="J356" s="175"/>
    </row>
    <row r="357" spans="1:10" s="176" customFormat="1" hidden="1" x14ac:dyDescent="0.25">
      <c r="A357" s="40"/>
      <c r="B357" s="51">
        <v>2</v>
      </c>
      <c r="C357" s="35" t="s">
        <v>211</v>
      </c>
      <c r="D357" s="191">
        <f>SUM(D358)</f>
        <v>0</v>
      </c>
      <c r="E357" s="191"/>
      <c r="F357" s="191">
        <f>SUM(F358)</f>
        <v>0</v>
      </c>
      <c r="G357" s="191">
        <f t="shared" si="124"/>
        <v>0</v>
      </c>
      <c r="H357" s="236"/>
      <c r="I357" s="224"/>
      <c r="J357" s="175"/>
    </row>
    <row r="358" spans="1:10" s="176" customFormat="1" hidden="1" x14ac:dyDescent="0.25">
      <c r="A358" s="40"/>
      <c r="B358" s="190" t="s">
        <v>383</v>
      </c>
      <c r="C358" s="193" t="s">
        <v>194</v>
      </c>
      <c r="D358" s="192">
        <v>0</v>
      </c>
      <c r="E358" s="192"/>
      <c r="F358" s="192">
        <v>0</v>
      </c>
      <c r="G358" s="192">
        <f t="shared" si="124"/>
        <v>0</v>
      </c>
      <c r="H358" s="24"/>
      <c r="I358" s="225"/>
      <c r="J358" s="175"/>
    </row>
    <row r="359" spans="1:10" s="176" customFormat="1" hidden="1" x14ac:dyDescent="0.25">
      <c r="A359" s="40"/>
      <c r="B359" s="51">
        <v>3</v>
      </c>
      <c r="C359" s="185" t="s">
        <v>172</v>
      </c>
      <c r="D359" s="191">
        <f>SUM(D360:D361)</f>
        <v>0</v>
      </c>
      <c r="E359" s="191"/>
      <c r="F359" s="191">
        <f>SUM(F360:F361)</f>
        <v>0</v>
      </c>
      <c r="G359" s="191">
        <f t="shared" si="124"/>
        <v>0</v>
      </c>
      <c r="H359" s="236"/>
      <c r="I359" s="224"/>
      <c r="J359" s="175"/>
    </row>
    <row r="360" spans="1:10" s="176" customFormat="1" hidden="1" x14ac:dyDescent="0.25">
      <c r="A360" s="40"/>
      <c r="B360" s="190" t="s">
        <v>377</v>
      </c>
      <c r="C360" s="193" t="s">
        <v>174</v>
      </c>
      <c r="D360" s="192"/>
      <c r="E360" s="192"/>
      <c r="F360" s="192"/>
      <c r="G360" s="192">
        <f t="shared" si="124"/>
        <v>0</v>
      </c>
      <c r="H360" s="24"/>
      <c r="I360" s="225"/>
      <c r="J360" s="175"/>
    </row>
    <row r="361" spans="1:10" s="176" customFormat="1" hidden="1" x14ac:dyDescent="0.25">
      <c r="A361" s="40"/>
      <c r="B361" s="190" t="s">
        <v>378</v>
      </c>
      <c r="C361" s="193" t="s">
        <v>175</v>
      </c>
      <c r="D361" s="192"/>
      <c r="E361" s="192"/>
      <c r="F361" s="192"/>
      <c r="G361" s="192">
        <f t="shared" si="124"/>
        <v>0</v>
      </c>
      <c r="H361" s="24"/>
      <c r="I361" s="225"/>
      <c r="J361" s="175"/>
    </row>
    <row r="362" spans="1:10" s="176" customFormat="1" hidden="1" x14ac:dyDescent="0.25">
      <c r="A362" s="40"/>
      <c r="B362" s="51">
        <v>4</v>
      </c>
      <c r="C362" s="35" t="s">
        <v>212</v>
      </c>
      <c r="D362" s="191">
        <f>D363</f>
        <v>0</v>
      </c>
      <c r="E362" s="191"/>
      <c r="F362" s="191">
        <f>F363</f>
        <v>0</v>
      </c>
      <c r="G362" s="191">
        <f t="shared" si="124"/>
        <v>0</v>
      </c>
      <c r="H362" s="236"/>
      <c r="I362" s="225"/>
      <c r="J362" s="175"/>
    </row>
    <row r="363" spans="1:10" s="176" customFormat="1" hidden="1" x14ac:dyDescent="0.25">
      <c r="A363" s="40"/>
      <c r="B363" s="190" t="s">
        <v>381</v>
      </c>
      <c r="C363" s="193" t="s">
        <v>189</v>
      </c>
      <c r="D363" s="191">
        <v>0</v>
      </c>
      <c r="E363" s="191"/>
      <c r="F363" s="191">
        <v>0</v>
      </c>
      <c r="G363" s="192">
        <f t="shared" si="124"/>
        <v>0</v>
      </c>
      <c r="H363" s="236"/>
      <c r="I363" s="225"/>
      <c r="J363" s="175"/>
    </row>
    <row r="364" spans="1:10" s="176" customFormat="1" hidden="1" x14ac:dyDescent="0.25">
      <c r="A364" s="40"/>
      <c r="B364" s="51">
        <v>5</v>
      </c>
      <c r="C364" s="35" t="s">
        <v>213</v>
      </c>
      <c r="D364" s="191">
        <f>SUM(D365:D365)</f>
        <v>0</v>
      </c>
      <c r="E364" s="191"/>
      <c r="F364" s="191">
        <f>SUM(F365:F365)</f>
        <v>0</v>
      </c>
      <c r="G364" s="191">
        <f t="shared" si="124"/>
        <v>0</v>
      </c>
      <c r="H364" s="236"/>
      <c r="I364" s="224"/>
      <c r="J364" s="175"/>
    </row>
    <row r="365" spans="1:10" s="176" customFormat="1" hidden="1" x14ac:dyDescent="0.25">
      <c r="A365" s="40"/>
      <c r="B365" s="190" t="s">
        <v>382</v>
      </c>
      <c r="C365" s="193" t="s">
        <v>187</v>
      </c>
      <c r="D365" s="192">
        <v>0</v>
      </c>
      <c r="E365" s="192"/>
      <c r="F365" s="192">
        <v>0</v>
      </c>
      <c r="G365" s="192">
        <f t="shared" si="124"/>
        <v>0</v>
      </c>
      <c r="H365" s="24"/>
      <c r="I365" s="225"/>
      <c r="J365" s="175"/>
    </row>
    <row r="366" spans="1:10" s="176" customFormat="1" hidden="1" x14ac:dyDescent="0.25">
      <c r="A366" s="40"/>
      <c r="B366" s="51">
        <v>6</v>
      </c>
      <c r="C366" s="35" t="s">
        <v>214</v>
      </c>
      <c r="D366" s="191">
        <f>SUM(D367:D367)</f>
        <v>0</v>
      </c>
      <c r="E366" s="191"/>
      <c r="F366" s="191">
        <f>SUM(F367:F367)</f>
        <v>0</v>
      </c>
      <c r="G366" s="191">
        <f t="shared" si="124"/>
        <v>0</v>
      </c>
      <c r="H366" s="236"/>
      <c r="I366" s="224"/>
      <c r="J366" s="175"/>
    </row>
    <row r="367" spans="1:10" s="176" customFormat="1" hidden="1" x14ac:dyDescent="0.25">
      <c r="A367" s="40"/>
      <c r="B367" s="190" t="s">
        <v>379</v>
      </c>
      <c r="C367" s="193" t="s">
        <v>215</v>
      </c>
      <c r="D367" s="192"/>
      <c r="E367" s="192"/>
      <c r="F367" s="192"/>
      <c r="G367" s="192">
        <f t="shared" si="124"/>
        <v>0</v>
      </c>
      <c r="H367" s="24"/>
      <c r="I367" s="225"/>
      <c r="J367" s="175"/>
    </row>
    <row r="368" spans="1:10" s="176" customFormat="1" x14ac:dyDescent="0.25">
      <c r="A368" s="40"/>
      <c r="B368" s="178"/>
      <c r="C368" s="183"/>
      <c r="D368" s="192"/>
      <c r="E368" s="192"/>
      <c r="F368" s="192"/>
      <c r="G368" s="191"/>
      <c r="H368" s="236"/>
      <c r="I368" s="224"/>
      <c r="J368" s="175"/>
    </row>
    <row r="369" spans="1:10" s="176" customFormat="1" ht="25.5" customHeight="1" x14ac:dyDescent="0.25">
      <c r="A369" s="138" t="s">
        <v>235</v>
      </c>
      <c r="B369" s="139" t="s">
        <v>384</v>
      </c>
      <c r="C369" s="140" t="s">
        <v>385</v>
      </c>
      <c r="D369" s="141">
        <f>SUM(D371+D373+M376+D376+D379+D382+D385+D388+D396+D399+D402+D405+D408+D411)</f>
        <v>121905428010</v>
      </c>
      <c r="E369" s="141">
        <f t="shared" ref="E369:G369" si="125">SUM(E371+E373+N376+E376+E379+E382+E385+E388+E396+E399+E402+E405+E408+E411)</f>
        <v>18034799460</v>
      </c>
      <c r="F369" s="141">
        <f t="shared" si="125"/>
        <v>15552986607</v>
      </c>
      <c r="G369" s="141">
        <f t="shared" si="125"/>
        <v>33587786067</v>
      </c>
      <c r="H369" s="240">
        <f>G369/D369</f>
        <v>0.27552330208171505</v>
      </c>
      <c r="I369" s="225" t="s">
        <v>216</v>
      </c>
      <c r="J369" s="175"/>
    </row>
    <row r="370" spans="1:10" s="176" customFormat="1" ht="21" customHeight="1" x14ac:dyDescent="0.25">
      <c r="A370" s="40"/>
      <c r="B370" s="167" t="s">
        <v>19</v>
      </c>
      <c r="C370" s="185" t="s">
        <v>635</v>
      </c>
      <c r="D370" s="191">
        <f>D371</f>
        <v>50738030000</v>
      </c>
      <c r="E370" s="191">
        <f t="shared" ref="E370:F370" si="126">E371</f>
        <v>0</v>
      </c>
      <c r="F370" s="191">
        <f t="shared" si="126"/>
        <v>0</v>
      </c>
      <c r="G370" s="191">
        <f t="shared" ref="G370" si="127">G371</f>
        <v>0</v>
      </c>
      <c r="H370" s="236">
        <f>G370/D370</f>
        <v>0</v>
      </c>
      <c r="I370" s="225" t="s">
        <v>218</v>
      </c>
      <c r="J370" s="175"/>
    </row>
    <row r="371" spans="1:10" s="176" customFormat="1" ht="21" customHeight="1" x14ac:dyDescent="0.25">
      <c r="A371" s="40"/>
      <c r="B371" s="190" t="s">
        <v>634</v>
      </c>
      <c r="C371" s="183" t="s">
        <v>636</v>
      </c>
      <c r="D371" s="192">
        <v>50738030000</v>
      </c>
      <c r="E371" s="192">
        <f>'Realisasi Mei'!G369</f>
        <v>0</v>
      </c>
      <c r="F371" s="192">
        <v>0</v>
      </c>
      <c r="G371" s="192">
        <f>E371+F371</f>
        <v>0</v>
      </c>
      <c r="H371" s="24">
        <f>G371/D371</f>
        <v>0</v>
      </c>
      <c r="I371" s="225"/>
      <c r="J371" s="175"/>
    </row>
    <row r="372" spans="1:10" s="176" customFormat="1" ht="25.5" customHeight="1" x14ac:dyDescent="0.25">
      <c r="A372" s="169"/>
      <c r="B372" s="189"/>
      <c r="C372" s="185"/>
      <c r="D372" s="191"/>
      <c r="E372" s="192"/>
      <c r="F372" s="191"/>
      <c r="G372" s="191"/>
      <c r="H372" s="236"/>
      <c r="I372" s="225"/>
      <c r="J372" s="175"/>
    </row>
    <row r="373" spans="1:10" s="176" customFormat="1" ht="21" customHeight="1" x14ac:dyDescent="0.25">
      <c r="A373" s="40"/>
      <c r="B373" s="167" t="s">
        <v>39</v>
      </c>
      <c r="C373" s="185" t="s">
        <v>638</v>
      </c>
      <c r="D373" s="191">
        <f>D374</f>
        <v>1125000000</v>
      </c>
      <c r="E373" s="191">
        <f>'Realisasi Mei'!G371</f>
        <v>0</v>
      </c>
      <c r="F373" s="191">
        <f t="shared" ref="F373:G373" si="128">F374</f>
        <v>0</v>
      </c>
      <c r="G373" s="191">
        <f t="shared" si="128"/>
        <v>0</v>
      </c>
      <c r="H373" s="236">
        <f>G373/D373</f>
        <v>0</v>
      </c>
      <c r="I373" s="225" t="s">
        <v>218</v>
      </c>
      <c r="J373" s="175"/>
    </row>
    <row r="374" spans="1:10" s="176" customFormat="1" ht="21" customHeight="1" x14ac:dyDescent="0.25">
      <c r="A374" s="40"/>
      <c r="B374" s="190" t="s">
        <v>637</v>
      </c>
      <c r="C374" s="183" t="s">
        <v>639</v>
      </c>
      <c r="D374" s="192">
        <v>1125000000</v>
      </c>
      <c r="E374" s="192">
        <f>'Realisasi Mei'!G372</f>
        <v>0</v>
      </c>
      <c r="F374" s="192"/>
      <c r="G374" s="192">
        <f>E374+F374</f>
        <v>0</v>
      </c>
      <c r="H374" s="24">
        <f>G374/D374</f>
        <v>0</v>
      </c>
      <c r="I374" s="225"/>
      <c r="J374" s="175"/>
    </row>
    <row r="375" spans="1:10" s="176" customFormat="1" ht="21" customHeight="1" x14ac:dyDescent="0.25">
      <c r="A375" s="40"/>
      <c r="B375" s="190"/>
      <c r="C375" s="183"/>
      <c r="D375" s="192"/>
      <c r="E375" s="192"/>
      <c r="F375" s="192"/>
      <c r="G375" s="192"/>
      <c r="H375" s="24"/>
      <c r="I375" s="225"/>
      <c r="J375" s="175"/>
    </row>
    <row r="376" spans="1:10" s="176" customFormat="1" ht="21" customHeight="1" x14ac:dyDescent="0.25">
      <c r="A376" s="40"/>
      <c r="B376" s="167" t="s">
        <v>19</v>
      </c>
      <c r="C376" s="185" t="s">
        <v>217</v>
      </c>
      <c r="D376" s="191">
        <f>D377</f>
        <v>2661700000</v>
      </c>
      <c r="E376" s="191">
        <f>'Realisasi Mei'!G374</f>
        <v>0</v>
      </c>
      <c r="F376" s="191">
        <f t="shared" ref="F376:G376" si="129">F377</f>
        <v>0</v>
      </c>
      <c r="G376" s="191">
        <f t="shared" si="129"/>
        <v>0</v>
      </c>
      <c r="H376" s="236">
        <f>G376/D376</f>
        <v>0</v>
      </c>
      <c r="I376" s="225" t="s">
        <v>218</v>
      </c>
      <c r="J376" s="175"/>
    </row>
    <row r="377" spans="1:10" s="176" customFormat="1" ht="21" customHeight="1" x14ac:dyDescent="0.25">
      <c r="A377" s="40"/>
      <c r="B377" s="190" t="s">
        <v>547</v>
      </c>
      <c r="C377" s="183" t="s">
        <v>217</v>
      </c>
      <c r="D377" s="192">
        <v>2661700000</v>
      </c>
      <c r="E377" s="192">
        <f>'Realisasi Mei'!G375</f>
        <v>0</v>
      </c>
      <c r="F377" s="192">
        <v>0</v>
      </c>
      <c r="G377" s="192">
        <f>E377+F377</f>
        <v>0</v>
      </c>
      <c r="H377" s="24">
        <f>G377/D377</f>
        <v>0</v>
      </c>
      <c r="I377" s="225"/>
      <c r="J377" s="175"/>
    </row>
    <row r="378" spans="1:10" s="176" customFormat="1" ht="21" customHeight="1" x14ac:dyDescent="0.25">
      <c r="A378" s="40"/>
      <c r="B378" s="190"/>
      <c r="C378" s="183"/>
      <c r="D378" s="192"/>
      <c r="E378" s="192"/>
      <c r="F378" s="192"/>
      <c r="G378" s="192"/>
      <c r="H378" s="236"/>
      <c r="I378" s="225"/>
      <c r="J378" s="175"/>
    </row>
    <row r="379" spans="1:10" s="176" customFormat="1" ht="21" customHeight="1" x14ac:dyDescent="0.25">
      <c r="A379" s="40"/>
      <c r="B379" s="167" t="s">
        <v>39</v>
      </c>
      <c r="C379" s="185" t="s">
        <v>219</v>
      </c>
      <c r="D379" s="191">
        <f>D380</f>
        <v>747200000</v>
      </c>
      <c r="E379" s="191">
        <f>'Realisasi Mei'!G377</f>
        <v>0</v>
      </c>
      <c r="F379" s="191">
        <f t="shared" ref="F379:G379" si="130">F380</f>
        <v>0</v>
      </c>
      <c r="G379" s="191">
        <f t="shared" si="130"/>
        <v>0</v>
      </c>
      <c r="H379" s="236">
        <f>G379/D379</f>
        <v>0</v>
      </c>
      <c r="I379" s="225" t="s">
        <v>218</v>
      </c>
      <c r="J379" s="175"/>
    </row>
    <row r="380" spans="1:10" s="176" customFormat="1" ht="21" customHeight="1" x14ac:dyDescent="0.25">
      <c r="A380" s="40"/>
      <c r="B380" s="190" t="s">
        <v>548</v>
      </c>
      <c r="C380" s="183" t="s">
        <v>219</v>
      </c>
      <c r="D380" s="192">
        <v>747200000</v>
      </c>
      <c r="E380" s="192">
        <f>'Realisasi Mei'!G378</f>
        <v>0</v>
      </c>
      <c r="F380" s="192"/>
      <c r="G380" s="192">
        <f>E380+F380</f>
        <v>0</v>
      </c>
      <c r="H380" s="24">
        <f>G380/D380</f>
        <v>0</v>
      </c>
      <c r="I380" s="225"/>
      <c r="J380" s="175"/>
    </row>
    <row r="381" spans="1:10" s="176" customFormat="1" ht="21" customHeight="1" x14ac:dyDescent="0.25">
      <c r="A381" s="40"/>
      <c r="B381" s="190"/>
      <c r="C381" s="183"/>
      <c r="D381" s="191"/>
      <c r="E381" s="192"/>
      <c r="F381" s="191"/>
      <c r="G381" s="192"/>
      <c r="H381" s="236"/>
      <c r="I381" s="225"/>
      <c r="J381" s="175"/>
    </row>
    <row r="382" spans="1:10" s="176" customFormat="1" x14ac:dyDescent="0.25">
      <c r="A382" s="40"/>
      <c r="B382" s="167" t="s">
        <v>46</v>
      </c>
      <c r="C382" s="35" t="s">
        <v>220</v>
      </c>
      <c r="D382" s="191">
        <f>SUM(D383)</f>
        <v>55849895230</v>
      </c>
      <c r="E382" s="191">
        <f>'Realisasi Mei'!G380</f>
        <v>16117233000</v>
      </c>
      <c r="F382" s="191">
        <f t="shared" ref="F382:G382" si="131">SUM(F383)</f>
        <v>13431027000</v>
      </c>
      <c r="G382" s="191">
        <f t="shared" si="131"/>
        <v>29548260000</v>
      </c>
      <c r="H382" s="236">
        <f>G382/D382</f>
        <v>0.52906562990521122</v>
      </c>
      <c r="I382" s="223"/>
      <c r="J382" s="175"/>
    </row>
    <row r="383" spans="1:10" s="176" customFormat="1" x14ac:dyDescent="0.25">
      <c r="A383" s="40"/>
      <c r="B383" s="190" t="s">
        <v>549</v>
      </c>
      <c r="C383" s="193" t="s">
        <v>220</v>
      </c>
      <c r="D383" s="192">
        <v>55849895230</v>
      </c>
      <c r="E383" s="192">
        <f>'Realisasi Mei'!G381</f>
        <v>16117233000</v>
      </c>
      <c r="F383" s="192">
        <v>13431027000</v>
      </c>
      <c r="G383" s="192">
        <f>E383+F383</f>
        <v>29548260000</v>
      </c>
      <c r="H383" s="24">
        <f>G383/D383</f>
        <v>0.52906562990521122</v>
      </c>
      <c r="I383" s="225" t="s">
        <v>218</v>
      </c>
      <c r="J383" s="175"/>
    </row>
    <row r="384" spans="1:10" s="176" customFormat="1" x14ac:dyDescent="0.25">
      <c r="A384" s="40"/>
      <c r="B384" s="190"/>
      <c r="C384" s="193"/>
      <c r="D384" s="192"/>
      <c r="E384" s="192"/>
      <c r="F384" s="192"/>
      <c r="G384" s="192"/>
      <c r="H384" s="24"/>
      <c r="I384" s="225"/>
      <c r="J384" s="175"/>
    </row>
    <row r="385" spans="1:10" s="176" customFormat="1" x14ac:dyDescent="0.25">
      <c r="A385" s="40"/>
      <c r="B385" s="167" t="s">
        <v>8</v>
      </c>
      <c r="C385" s="35" t="s">
        <v>221</v>
      </c>
      <c r="D385" s="191">
        <f>SUM(D386)</f>
        <v>2296500000</v>
      </c>
      <c r="E385" s="191">
        <f>'Realisasi Mei'!G383</f>
        <v>681300000</v>
      </c>
      <c r="F385" s="191">
        <f t="shared" ref="F385:G385" si="132">SUM(F386)</f>
        <v>567750000</v>
      </c>
      <c r="G385" s="191">
        <f t="shared" si="132"/>
        <v>1249050000</v>
      </c>
      <c r="H385" s="236">
        <f>G385/D385</f>
        <v>0.54389288047028084</v>
      </c>
      <c r="I385" s="223"/>
      <c r="J385" s="175"/>
    </row>
    <row r="386" spans="1:10" s="176" customFormat="1" x14ac:dyDescent="0.25">
      <c r="A386" s="40"/>
      <c r="B386" s="190" t="s">
        <v>550</v>
      </c>
      <c r="C386" s="193" t="s">
        <v>221</v>
      </c>
      <c r="D386" s="192">
        <v>2296500000</v>
      </c>
      <c r="E386" s="192">
        <f>'Realisasi Mei'!G384</f>
        <v>681300000</v>
      </c>
      <c r="F386" s="192">
        <v>567750000</v>
      </c>
      <c r="G386" s="192">
        <f>E386+F386</f>
        <v>1249050000</v>
      </c>
      <c r="H386" s="24">
        <f>G386/D386</f>
        <v>0.54389288047028084</v>
      </c>
      <c r="I386" s="225" t="s">
        <v>218</v>
      </c>
      <c r="J386" s="175"/>
    </row>
    <row r="387" spans="1:10" s="176" customFormat="1" x14ac:dyDescent="0.25">
      <c r="A387" s="40"/>
      <c r="B387" s="190"/>
      <c r="C387" s="193"/>
      <c r="D387" s="192"/>
      <c r="E387" s="192"/>
      <c r="F387" s="192"/>
      <c r="G387" s="192"/>
      <c r="H387" s="24"/>
      <c r="I387" s="225"/>
      <c r="J387" s="175"/>
    </row>
    <row r="388" spans="1:10" s="176" customFormat="1" x14ac:dyDescent="0.25">
      <c r="A388" s="40"/>
      <c r="B388" s="167" t="s">
        <v>49</v>
      </c>
      <c r="C388" s="35" t="s">
        <v>222</v>
      </c>
      <c r="D388" s="191">
        <f>SUM(D389:D394)</f>
        <v>7190684820</v>
      </c>
      <c r="E388" s="191">
        <f>'Realisasi Mei'!G386</f>
        <v>807000400</v>
      </c>
      <c r="F388" s="191">
        <f t="shared" ref="F388:G388" si="133">SUM(F389:F394)</f>
        <v>1554209607</v>
      </c>
      <c r="G388" s="191">
        <f t="shared" si="133"/>
        <v>2361210007</v>
      </c>
      <c r="H388" s="236">
        <f>G388/D388</f>
        <v>0.32837067207181525</v>
      </c>
      <c r="I388" s="227"/>
      <c r="J388" s="175"/>
    </row>
    <row r="389" spans="1:10" s="176" customFormat="1" x14ac:dyDescent="0.25">
      <c r="A389" s="40"/>
      <c r="B389" s="190" t="s">
        <v>551</v>
      </c>
      <c r="C389" s="193" t="s">
        <v>223</v>
      </c>
      <c r="D389" s="192">
        <v>1403459600</v>
      </c>
      <c r="E389" s="192">
        <f>'Realisasi Mei'!G387</f>
        <v>0</v>
      </c>
      <c r="F389" s="192">
        <v>1554209607</v>
      </c>
      <c r="G389" s="192">
        <f>E389+F389</f>
        <v>1554209607</v>
      </c>
      <c r="H389" s="24">
        <f>G389/D389</f>
        <v>1.1074131432069723</v>
      </c>
      <c r="I389" s="225" t="s">
        <v>218</v>
      </c>
      <c r="J389" s="175"/>
    </row>
    <row r="390" spans="1:10" s="176" customFormat="1" x14ac:dyDescent="0.25">
      <c r="A390" s="40"/>
      <c r="B390" s="190" t="s">
        <v>552</v>
      </c>
      <c r="C390" s="193" t="s">
        <v>227</v>
      </c>
      <c r="D390" s="192">
        <v>459094000</v>
      </c>
      <c r="E390" s="192">
        <f>'Realisasi Mei'!G388</f>
        <v>0</v>
      </c>
      <c r="F390" s="192"/>
      <c r="G390" s="192">
        <f t="shared" ref="G390:G397" si="134">E390+F390</f>
        <v>0</v>
      </c>
      <c r="H390" s="24">
        <f>G390/D390</f>
        <v>0</v>
      </c>
      <c r="I390" s="225" t="s">
        <v>216</v>
      </c>
      <c r="J390" s="175"/>
    </row>
    <row r="391" spans="1:10" s="176" customFormat="1" x14ac:dyDescent="0.25">
      <c r="A391" s="40"/>
      <c r="B391" s="190" t="s">
        <v>553</v>
      </c>
      <c r="C391" s="193" t="s">
        <v>224</v>
      </c>
      <c r="D391" s="192">
        <v>3080905120</v>
      </c>
      <c r="E391" s="192">
        <f>'Realisasi Mei'!G389</f>
        <v>0</v>
      </c>
      <c r="F391" s="192"/>
      <c r="G391" s="192">
        <f t="shared" si="134"/>
        <v>0</v>
      </c>
      <c r="H391" s="24">
        <f>G391/D391</f>
        <v>0</v>
      </c>
      <c r="I391" s="225" t="s">
        <v>218</v>
      </c>
      <c r="J391" s="175"/>
    </row>
    <row r="392" spans="1:10" s="176" customFormat="1" ht="18" hidden="1" customHeight="1" x14ac:dyDescent="0.25">
      <c r="A392" s="40"/>
      <c r="B392" s="52"/>
      <c r="C392" s="193" t="s">
        <v>225</v>
      </c>
      <c r="D392" s="192"/>
      <c r="E392" s="192">
        <f>'Realisasi Mei'!G390</f>
        <v>0</v>
      </c>
      <c r="F392" s="192"/>
      <c r="G392" s="192">
        <f t="shared" si="134"/>
        <v>0</v>
      </c>
      <c r="H392" s="24">
        <v>0</v>
      </c>
      <c r="I392" s="223"/>
      <c r="J392" s="175"/>
    </row>
    <row r="393" spans="1:10" s="176" customFormat="1" x14ac:dyDescent="0.25">
      <c r="A393" s="40"/>
      <c r="B393" s="190" t="s">
        <v>554</v>
      </c>
      <c r="C393" s="193" t="s">
        <v>226</v>
      </c>
      <c r="D393" s="192">
        <v>113748200</v>
      </c>
      <c r="E393" s="192">
        <f>'Realisasi Mei'!G391</f>
        <v>0</v>
      </c>
      <c r="F393" s="192"/>
      <c r="G393" s="192">
        <f t="shared" si="134"/>
        <v>0</v>
      </c>
      <c r="H393" s="24">
        <f>G393/D393</f>
        <v>0</v>
      </c>
      <c r="I393" s="225" t="s">
        <v>216</v>
      </c>
      <c r="J393" s="175"/>
    </row>
    <row r="394" spans="1:10" s="176" customFormat="1" x14ac:dyDescent="0.25">
      <c r="A394" s="40"/>
      <c r="B394" s="190" t="s">
        <v>386</v>
      </c>
      <c r="C394" s="193" t="s">
        <v>228</v>
      </c>
      <c r="D394" s="192">
        <v>2133477900</v>
      </c>
      <c r="E394" s="192">
        <f>'Realisasi Mei'!G392</f>
        <v>807000400</v>
      </c>
      <c r="F394" s="192"/>
      <c r="G394" s="192">
        <f t="shared" si="134"/>
        <v>807000400</v>
      </c>
      <c r="H394" s="24">
        <f>G394/D394</f>
        <v>0.37825580475898063</v>
      </c>
      <c r="I394" s="225" t="s">
        <v>216</v>
      </c>
      <c r="J394" s="175"/>
    </row>
    <row r="395" spans="1:10" s="176" customFormat="1" x14ac:dyDescent="0.25">
      <c r="A395" s="40"/>
      <c r="B395" s="190"/>
      <c r="C395" s="193"/>
      <c r="D395" s="192"/>
      <c r="E395" s="192"/>
      <c r="F395" s="192"/>
      <c r="G395" s="192">
        <f t="shared" si="134"/>
        <v>0</v>
      </c>
      <c r="H395" s="24"/>
      <c r="I395" s="225"/>
      <c r="J395" s="175"/>
    </row>
    <row r="396" spans="1:10" s="176" customFormat="1" x14ac:dyDescent="0.25">
      <c r="A396" s="40"/>
      <c r="B396" s="167" t="s">
        <v>53</v>
      </c>
      <c r="C396" s="35" t="s">
        <v>229</v>
      </c>
      <c r="D396" s="191">
        <f>SUM(D397)</f>
        <v>0</v>
      </c>
      <c r="E396" s="192">
        <f>'Realisasi Mei'!G394</f>
        <v>0</v>
      </c>
      <c r="F396" s="191">
        <f>SUM(F397)</f>
        <v>0</v>
      </c>
      <c r="G396" s="192">
        <f t="shared" si="134"/>
        <v>0</v>
      </c>
      <c r="H396" s="253" t="e">
        <f>G396/D396</f>
        <v>#DIV/0!</v>
      </c>
      <c r="I396" s="223"/>
      <c r="J396" s="175"/>
    </row>
    <row r="397" spans="1:10" s="176" customFormat="1" x14ac:dyDescent="0.25">
      <c r="A397" s="40"/>
      <c r="B397" s="190" t="s">
        <v>387</v>
      </c>
      <c r="C397" s="193" t="s">
        <v>229</v>
      </c>
      <c r="D397" s="192">
        <v>0</v>
      </c>
      <c r="E397" s="192">
        <f>'Realisasi Mei'!G395</f>
        <v>0</v>
      </c>
      <c r="F397" s="192"/>
      <c r="G397" s="192">
        <f t="shared" si="134"/>
        <v>0</v>
      </c>
      <c r="H397" s="252" t="e">
        <f>G397/D397</f>
        <v>#DIV/0!</v>
      </c>
      <c r="I397" s="225" t="s">
        <v>216</v>
      </c>
      <c r="J397" s="175"/>
    </row>
    <row r="398" spans="1:10" s="176" customFormat="1" x14ac:dyDescent="0.25">
      <c r="A398" s="40"/>
      <c r="B398" s="190"/>
      <c r="C398" s="193"/>
      <c r="D398" s="192"/>
      <c r="E398" s="192"/>
      <c r="F398" s="192"/>
      <c r="G398" s="192"/>
      <c r="H398" s="24"/>
      <c r="I398" s="225"/>
      <c r="J398" s="175"/>
    </row>
    <row r="399" spans="1:10" s="176" customFormat="1" x14ac:dyDescent="0.25">
      <c r="A399" s="40"/>
      <c r="B399" s="167" t="s">
        <v>62</v>
      </c>
      <c r="C399" s="35" t="s">
        <v>230</v>
      </c>
      <c r="D399" s="191">
        <f>SUM(D400)</f>
        <v>0</v>
      </c>
      <c r="E399" s="192">
        <f>'Realisasi Mei'!G397</f>
        <v>0</v>
      </c>
      <c r="F399" s="191">
        <f t="shared" ref="F399:G399" si="135">SUM(F400)</f>
        <v>0</v>
      </c>
      <c r="G399" s="191">
        <f t="shared" si="135"/>
        <v>0</v>
      </c>
      <c r="H399" s="236" t="e">
        <f>G399/D399</f>
        <v>#DIV/0!</v>
      </c>
      <c r="I399" s="223"/>
      <c r="J399" s="175"/>
    </row>
    <row r="400" spans="1:10" s="176" customFormat="1" x14ac:dyDescent="0.25">
      <c r="A400" s="40"/>
      <c r="B400" s="190" t="s">
        <v>555</v>
      </c>
      <c r="C400" s="193" t="s">
        <v>230</v>
      </c>
      <c r="D400" s="192"/>
      <c r="E400" s="192">
        <f>'Realisasi Mei'!G398</f>
        <v>0</v>
      </c>
      <c r="F400" s="192"/>
      <c r="G400" s="192">
        <f>E400+F400</f>
        <v>0</v>
      </c>
      <c r="H400" s="24" t="e">
        <f>G400/D400</f>
        <v>#DIV/0!</v>
      </c>
      <c r="I400" s="225" t="s">
        <v>216</v>
      </c>
      <c r="J400" s="175"/>
    </row>
    <row r="401" spans="1:10" s="176" customFormat="1" x14ac:dyDescent="0.25">
      <c r="A401" s="40"/>
      <c r="B401" s="190"/>
      <c r="C401" s="193"/>
      <c r="D401" s="192"/>
      <c r="E401" s="192"/>
      <c r="F401" s="192"/>
      <c r="G401" s="192"/>
      <c r="H401" s="24"/>
      <c r="I401" s="225"/>
      <c r="J401" s="175"/>
    </row>
    <row r="402" spans="1:10" s="176" customFormat="1" x14ac:dyDescent="0.25">
      <c r="A402" s="40"/>
      <c r="B402" s="167" t="s">
        <v>66</v>
      </c>
      <c r="C402" s="35" t="s">
        <v>231</v>
      </c>
      <c r="D402" s="191">
        <f>SUM(D403)</f>
        <v>0</v>
      </c>
      <c r="E402" s="192">
        <f>'Realisasi Mei'!G400</f>
        <v>0</v>
      </c>
      <c r="F402" s="191">
        <f t="shared" ref="F402:G402" si="136">SUM(F403)</f>
        <v>0</v>
      </c>
      <c r="G402" s="191">
        <f t="shared" si="136"/>
        <v>0</v>
      </c>
      <c r="H402" s="236" t="e">
        <f>G402/D402</f>
        <v>#DIV/0!</v>
      </c>
      <c r="I402" s="223"/>
      <c r="J402" s="175"/>
    </row>
    <row r="403" spans="1:10" s="176" customFormat="1" x14ac:dyDescent="0.25">
      <c r="A403" s="40"/>
      <c r="B403" s="190" t="s">
        <v>556</v>
      </c>
      <c r="C403" s="193" t="s">
        <v>231</v>
      </c>
      <c r="D403" s="192"/>
      <c r="E403" s="192">
        <f>'Realisasi Mei'!G401</f>
        <v>0</v>
      </c>
      <c r="F403" s="192"/>
      <c r="G403" s="192">
        <f>E403+F403</f>
        <v>0</v>
      </c>
      <c r="H403" s="24" t="e">
        <f>G403/D403</f>
        <v>#DIV/0!</v>
      </c>
      <c r="I403" s="225" t="s">
        <v>216</v>
      </c>
      <c r="J403" s="175"/>
    </row>
    <row r="404" spans="1:10" s="176" customFormat="1" x14ac:dyDescent="0.25">
      <c r="A404" s="40"/>
      <c r="B404" s="190"/>
      <c r="C404" s="193"/>
      <c r="D404" s="192"/>
      <c r="E404" s="192"/>
      <c r="F404" s="192"/>
      <c r="G404" s="192"/>
      <c r="H404" s="24"/>
      <c r="I404" s="225"/>
      <c r="J404" s="175"/>
    </row>
    <row r="405" spans="1:10" s="176" customFormat="1" x14ac:dyDescent="0.25">
      <c r="A405" s="40"/>
      <c r="B405" s="167" t="s">
        <v>73</v>
      </c>
      <c r="C405" s="185" t="s">
        <v>232</v>
      </c>
      <c r="D405" s="191">
        <f>D406</f>
        <v>289414900</v>
      </c>
      <c r="E405" s="192">
        <f>'Realisasi Mei'!G403</f>
        <v>0</v>
      </c>
      <c r="F405" s="191">
        <f t="shared" ref="F405:G405" si="137">SUM(F406)</f>
        <v>0</v>
      </c>
      <c r="G405" s="191">
        <f t="shared" si="137"/>
        <v>0</v>
      </c>
      <c r="H405" s="236">
        <f>G405/D405</f>
        <v>0</v>
      </c>
      <c r="I405" s="225"/>
      <c r="J405" s="175"/>
    </row>
    <row r="406" spans="1:10" s="176" customFormat="1" x14ac:dyDescent="0.25">
      <c r="A406" s="40"/>
      <c r="B406" s="190" t="s">
        <v>557</v>
      </c>
      <c r="C406" s="183" t="s">
        <v>232</v>
      </c>
      <c r="D406" s="192">
        <v>289414900</v>
      </c>
      <c r="E406" s="192">
        <f>'Realisasi Mei'!G404</f>
        <v>0</v>
      </c>
      <c r="F406" s="192"/>
      <c r="G406" s="192">
        <f>E406+F406</f>
        <v>0</v>
      </c>
      <c r="H406" s="24">
        <f>G406/D406</f>
        <v>0</v>
      </c>
      <c r="I406" s="225" t="s">
        <v>216</v>
      </c>
      <c r="J406" s="175"/>
    </row>
    <row r="407" spans="1:10" s="176" customFormat="1" x14ac:dyDescent="0.25">
      <c r="A407" s="40"/>
      <c r="B407" s="190"/>
      <c r="C407" s="183"/>
      <c r="D407" s="192"/>
      <c r="E407" s="192"/>
      <c r="F407" s="192"/>
      <c r="G407" s="192"/>
      <c r="H407" s="24"/>
      <c r="I407" s="225"/>
      <c r="J407" s="175"/>
    </row>
    <row r="408" spans="1:10" s="176" customFormat="1" x14ac:dyDescent="0.25">
      <c r="A408" s="40"/>
      <c r="B408" s="167" t="s">
        <v>74</v>
      </c>
      <c r="C408" s="185" t="s">
        <v>233</v>
      </c>
      <c r="D408" s="191">
        <f>D409</f>
        <v>254403060</v>
      </c>
      <c r="E408" s="191">
        <f>'Realisasi Mei'!G406</f>
        <v>52966060</v>
      </c>
      <c r="F408" s="191">
        <f t="shared" ref="F408:G408" si="138">SUM(F409)</f>
        <v>0</v>
      </c>
      <c r="G408" s="191">
        <f t="shared" si="138"/>
        <v>52966060</v>
      </c>
      <c r="H408" s="236">
        <f>G408/D408</f>
        <v>0.20819741712226261</v>
      </c>
      <c r="I408" s="225"/>
      <c r="J408" s="175"/>
    </row>
    <row r="409" spans="1:10" s="176" customFormat="1" x14ac:dyDescent="0.25">
      <c r="A409" s="40"/>
      <c r="B409" s="190" t="s">
        <v>558</v>
      </c>
      <c r="C409" s="183" t="s">
        <v>233</v>
      </c>
      <c r="D409" s="192">
        <v>254403060</v>
      </c>
      <c r="E409" s="192">
        <f>'Realisasi Mei'!G407</f>
        <v>52966060</v>
      </c>
      <c r="F409" s="192"/>
      <c r="G409" s="192">
        <f>E409+F409</f>
        <v>52966060</v>
      </c>
      <c r="H409" s="24">
        <f>G409/D409</f>
        <v>0.20819741712226261</v>
      </c>
      <c r="I409" s="225" t="s">
        <v>216</v>
      </c>
      <c r="J409" s="175"/>
    </row>
    <row r="410" spans="1:10" s="176" customFormat="1" x14ac:dyDescent="0.25">
      <c r="A410" s="40"/>
      <c r="B410" s="22"/>
      <c r="C410" s="183"/>
      <c r="D410" s="192"/>
      <c r="E410" s="192"/>
      <c r="F410" s="192"/>
      <c r="G410" s="192"/>
      <c r="H410" s="24"/>
      <c r="I410" s="225"/>
      <c r="J410" s="175"/>
    </row>
    <row r="411" spans="1:10" s="176" customFormat="1" x14ac:dyDescent="0.25">
      <c r="A411" s="40"/>
      <c r="B411" s="167" t="s">
        <v>81</v>
      </c>
      <c r="C411" s="185" t="s">
        <v>234</v>
      </c>
      <c r="D411" s="191">
        <f>D412</f>
        <v>752600000</v>
      </c>
      <c r="E411" s="191">
        <f>'Realisasi Mei'!G409</f>
        <v>376300000</v>
      </c>
      <c r="F411" s="191">
        <f t="shared" ref="F411:G411" si="139">SUM(F412)</f>
        <v>0</v>
      </c>
      <c r="G411" s="191">
        <f t="shared" si="139"/>
        <v>376300000</v>
      </c>
      <c r="H411" s="236">
        <f>G411/D411</f>
        <v>0.5</v>
      </c>
      <c r="I411" s="225"/>
      <c r="J411" s="175"/>
    </row>
    <row r="412" spans="1:10" s="176" customFormat="1" x14ac:dyDescent="0.25">
      <c r="A412" s="40"/>
      <c r="B412" s="190" t="s">
        <v>559</v>
      </c>
      <c r="C412" s="183" t="s">
        <v>234</v>
      </c>
      <c r="D412" s="192">
        <v>752600000</v>
      </c>
      <c r="E412" s="192">
        <f>'Realisasi Mei'!G410</f>
        <v>376300000</v>
      </c>
      <c r="F412" s="192"/>
      <c r="G412" s="192">
        <f>E412+F412</f>
        <v>376300000</v>
      </c>
      <c r="H412" s="24">
        <f>G412/D412</f>
        <v>0.5</v>
      </c>
      <c r="I412" s="225" t="s">
        <v>216</v>
      </c>
      <c r="J412" s="175"/>
    </row>
    <row r="413" spans="1:10" s="176" customFormat="1" x14ac:dyDescent="0.25">
      <c r="A413" s="40"/>
      <c r="B413" s="22"/>
      <c r="C413" s="183"/>
      <c r="D413" s="192"/>
      <c r="E413" s="192"/>
      <c r="F413" s="192"/>
      <c r="G413" s="191"/>
      <c r="H413" s="236"/>
      <c r="I413" s="223"/>
      <c r="J413" s="175"/>
    </row>
    <row r="414" spans="1:10" s="176" customFormat="1" ht="25.5" customHeight="1" x14ac:dyDescent="0.25">
      <c r="A414" s="134" t="s">
        <v>417</v>
      </c>
      <c r="B414" s="135" t="s">
        <v>398</v>
      </c>
      <c r="C414" s="136" t="s">
        <v>399</v>
      </c>
      <c r="D414" s="137">
        <f>SUM(D415+D428)</f>
        <v>115695329081</v>
      </c>
      <c r="E414" s="137">
        <f t="shared" ref="E414:G414" si="140">SUM(E415+E428)</f>
        <v>37604730523</v>
      </c>
      <c r="F414" s="137">
        <f t="shared" si="140"/>
        <v>0</v>
      </c>
      <c r="G414" s="137">
        <f t="shared" si="140"/>
        <v>37604730523</v>
      </c>
      <c r="H414" s="238">
        <f t="shared" ref="H414:H426" si="141">G414/D414</f>
        <v>0.32503240037177628</v>
      </c>
      <c r="I414" s="229"/>
      <c r="J414" s="175"/>
    </row>
    <row r="415" spans="1:10" s="176" customFormat="1" ht="25.5" customHeight="1" x14ac:dyDescent="0.25">
      <c r="A415" s="169" t="s">
        <v>426</v>
      </c>
      <c r="B415" s="189" t="s">
        <v>400</v>
      </c>
      <c r="C415" s="185" t="s">
        <v>401</v>
      </c>
      <c r="D415" s="191">
        <f>D416</f>
        <v>105229329081</v>
      </c>
      <c r="E415" s="191">
        <f t="shared" ref="E415:G415" si="142">E416</f>
        <v>34520730523</v>
      </c>
      <c r="F415" s="191">
        <f t="shared" si="142"/>
        <v>0</v>
      </c>
      <c r="G415" s="191">
        <f t="shared" si="142"/>
        <v>34520730523</v>
      </c>
      <c r="H415" s="236">
        <f t="shared" si="141"/>
        <v>0.32805236738160476</v>
      </c>
      <c r="I415" s="230"/>
      <c r="J415" s="175"/>
    </row>
    <row r="416" spans="1:10" s="176" customFormat="1" ht="25.5" customHeight="1" x14ac:dyDescent="0.25">
      <c r="A416" s="169"/>
      <c r="B416" s="189" t="s">
        <v>402</v>
      </c>
      <c r="C416" s="185" t="s">
        <v>403</v>
      </c>
      <c r="D416" s="191">
        <f>SUM(D417:D426)</f>
        <v>105229329081</v>
      </c>
      <c r="E416" s="191">
        <f t="shared" ref="E416:G416" si="143">SUM(E417:E426)</f>
        <v>34520730523</v>
      </c>
      <c r="F416" s="191">
        <f t="shared" si="143"/>
        <v>0</v>
      </c>
      <c r="G416" s="191">
        <f t="shared" si="143"/>
        <v>34520730523</v>
      </c>
      <c r="H416" s="236">
        <f t="shared" si="141"/>
        <v>0.32805236738160476</v>
      </c>
      <c r="I416" s="230"/>
      <c r="J416" s="175"/>
    </row>
    <row r="417" spans="1:10" s="176" customFormat="1" ht="25.5" customHeight="1" x14ac:dyDescent="0.25">
      <c r="A417" s="184" t="s">
        <v>89</v>
      </c>
      <c r="B417" s="190" t="s">
        <v>561</v>
      </c>
      <c r="C417" s="183" t="s">
        <v>244</v>
      </c>
      <c r="D417" s="178">
        <v>26706000000</v>
      </c>
      <c r="E417" s="178">
        <f>'Realisasi Mei'!G422</f>
        <v>6549814185</v>
      </c>
      <c r="F417" s="178"/>
      <c r="G417" s="192">
        <f>E417+F417</f>
        <v>6549814185</v>
      </c>
      <c r="H417" s="24">
        <f t="shared" si="141"/>
        <v>0.24525627892608404</v>
      </c>
      <c r="I417" s="231"/>
      <c r="J417" s="175"/>
    </row>
    <row r="418" spans="1:10" s="176" customFormat="1" ht="25.5" customHeight="1" x14ac:dyDescent="0.25">
      <c r="A418" s="188"/>
      <c r="B418" s="178"/>
      <c r="C418" s="193" t="s">
        <v>664</v>
      </c>
      <c r="D418" s="55"/>
      <c r="E418" s="178">
        <f>'Realisasi Mei'!G423</f>
        <v>0</v>
      </c>
      <c r="F418" s="55"/>
      <c r="G418" s="192">
        <f t="shared" ref="G418:G426" si="144">E418+F418</f>
        <v>0</v>
      </c>
      <c r="H418" s="24" t="e">
        <f t="shared" si="141"/>
        <v>#DIV/0!</v>
      </c>
      <c r="I418" s="231"/>
      <c r="J418" s="175"/>
    </row>
    <row r="419" spans="1:10" s="176" customFormat="1" ht="25.5" customHeight="1" x14ac:dyDescent="0.25">
      <c r="A419" s="184" t="s">
        <v>91</v>
      </c>
      <c r="B419" s="190" t="s">
        <v>562</v>
      </c>
      <c r="C419" s="183" t="s">
        <v>245</v>
      </c>
      <c r="D419" s="178">
        <v>16184831606</v>
      </c>
      <c r="E419" s="178">
        <f>'Realisasi Mei'!G424</f>
        <v>5553591878</v>
      </c>
      <c r="F419" s="178"/>
      <c r="G419" s="192">
        <f t="shared" si="144"/>
        <v>5553591878</v>
      </c>
      <c r="H419" s="24">
        <f t="shared" si="141"/>
        <v>0.34313559839208868</v>
      </c>
      <c r="I419" s="231"/>
      <c r="J419" s="175"/>
    </row>
    <row r="420" spans="1:10" s="176" customFormat="1" ht="25.5" customHeight="1" x14ac:dyDescent="0.25">
      <c r="A420" s="188"/>
      <c r="B420" s="178"/>
      <c r="C420" s="193" t="s">
        <v>665</v>
      </c>
      <c r="D420" s="55"/>
      <c r="E420" s="178">
        <f>'Realisasi Mei'!G425</f>
        <v>0</v>
      </c>
      <c r="F420" s="55"/>
      <c r="G420" s="192">
        <f t="shared" si="144"/>
        <v>0</v>
      </c>
      <c r="H420" s="24" t="e">
        <f t="shared" si="141"/>
        <v>#DIV/0!</v>
      </c>
      <c r="I420" s="232"/>
      <c r="J420" s="175"/>
    </row>
    <row r="421" spans="1:10" s="176" customFormat="1" ht="25.5" customHeight="1" x14ac:dyDescent="0.25">
      <c r="A421" s="184" t="s">
        <v>72</v>
      </c>
      <c r="B421" s="190" t="s">
        <v>563</v>
      </c>
      <c r="C421" s="183" t="s">
        <v>246</v>
      </c>
      <c r="D421" s="178">
        <v>45000000000</v>
      </c>
      <c r="E421" s="178">
        <f>'Realisasi Mei'!G426</f>
        <v>13165751117</v>
      </c>
      <c r="F421" s="178"/>
      <c r="G421" s="192">
        <f t="shared" si="144"/>
        <v>13165751117</v>
      </c>
      <c r="H421" s="24">
        <f t="shared" si="141"/>
        <v>0.29257224704444446</v>
      </c>
      <c r="I421" s="232"/>
      <c r="J421" s="175"/>
    </row>
    <row r="422" spans="1:10" s="176" customFormat="1" ht="25.5" customHeight="1" x14ac:dyDescent="0.25">
      <c r="A422" s="188"/>
      <c r="B422" s="178"/>
      <c r="C422" s="193" t="s">
        <v>666</v>
      </c>
      <c r="D422" s="55"/>
      <c r="E422" s="178">
        <f>'Realisasi Mei'!G427</f>
        <v>0</v>
      </c>
      <c r="F422" s="55"/>
      <c r="G422" s="192">
        <f t="shared" si="144"/>
        <v>0</v>
      </c>
      <c r="H422" s="24" t="e">
        <f t="shared" si="141"/>
        <v>#DIV/0!</v>
      </c>
      <c r="I422" s="231"/>
      <c r="J422" s="175"/>
    </row>
    <row r="423" spans="1:10" s="176" customFormat="1" ht="25.5" customHeight="1" x14ac:dyDescent="0.25">
      <c r="A423" s="184" t="s">
        <v>168</v>
      </c>
      <c r="B423" s="190" t="s">
        <v>564</v>
      </c>
      <c r="C423" s="183" t="s">
        <v>247</v>
      </c>
      <c r="D423" s="192">
        <v>1534998000</v>
      </c>
      <c r="E423" s="178">
        <f>'Realisasi Mei'!G428</f>
        <v>239521276</v>
      </c>
      <c r="F423" s="192"/>
      <c r="G423" s="192">
        <f t="shared" si="144"/>
        <v>239521276</v>
      </c>
      <c r="H423" s="24">
        <f t="shared" si="141"/>
        <v>0.15604012252784694</v>
      </c>
      <c r="I423" s="233"/>
      <c r="J423" s="175"/>
    </row>
    <row r="424" spans="1:10" s="176" customFormat="1" ht="25.5" customHeight="1" x14ac:dyDescent="0.25">
      <c r="A424" s="188"/>
      <c r="B424" s="178"/>
      <c r="C424" s="193" t="s">
        <v>667</v>
      </c>
      <c r="D424" s="55"/>
      <c r="E424" s="178">
        <f>'Realisasi Mei'!G429</f>
        <v>0</v>
      </c>
      <c r="F424" s="55"/>
      <c r="G424" s="192">
        <f t="shared" si="144"/>
        <v>0</v>
      </c>
      <c r="H424" s="24" t="e">
        <f t="shared" si="141"/>
        <v>#DIV/0!</v>
      </c>
      <c r="I424" s="232"/>
      <c r="J424" s="175"/>
    </row>
    <row r="425" spans="1:10" s="176" customFormat="1" ht="25.5" customHeight="1" x14ac:dyDescent="0.25">
      <c r="A425" s="184" t="s">
        <v>404</v>
      </c>
      <c r="B425" s="190" t="s">
        <v>565</v>
      </c>
      <c r="C425" s="183" t="s">
        <v>248</v>
      </c>
      <c r="D425" s="178">
        <v>15803499475</v>
      </c>
      <c r="E425" s="178">
        <f>'Realisasi Mei'!G430</f>
        <v>6071989703</v>
      </c>
      <c r="F425" s="178"/>
      <c r="G425" s="192">
        <f t="shared" si="144"/>
        <v>6071989703</v>
      </c>
      <c r="H425" s="24">
        <f t="shared" si="141"/>
        <v>0.38421804693355743</v>
      </c>
      <c r="I425" s="232"/>
      <c r="J425" s="175"/>
    </row>
    <row r="426" spans="1:10" s="176" customFormat="1" ht="25.5" customHeight="1" x14ac:dyDescent="0.25">
      <c r="A426" s="188"/>
      <c r="B426" s="178"/>
      <c r="C426" s="193" t="s">
        <v>668</v>
      </c>
      <c r="D426" s="55"/>
      <c r="E426" s="178">
        <f>'Realisasi Mei'!G431</f>
        <v>2940062364</v>
      </c>
      <c r="F426" s="55"/>
      <c r="G426" s="192">
        <f t="shared" si="144"/>
        <v>2940062364</v>
      </c>
      <c r="H426" s="24" t="e">
        <f t="shared" si="141"/>
        <v>#DIV/0!</v>
      </c>
      <c r="I426" s="231"/>
      <c r="J426" s="175"/>
    </row>
    <row r="427" spans="1:10" s="176" customFormat="1" ht="25.5" customHeight="1" x14ac:dyDescent="0.25">
      <c r="A427" s="188"/>
      <c r="B427" s="178"/>
      <c r="C427" s="193"/>
      <c r="D427" s="55"/>
      <c r="E427" s="55"/>
      <c r="F427" s="55"/>
      <c r="G427" s="192"/>
      <c r="H427" s="24"/>
      <c r="I427" s="231"/>
      <c r="J427" s="175"/>
    </row>
    <row r="428" spans="1:10" s="176" customFormat="1" ht="25.5" customHeight="1" x14ac:dyDescent="0.25">
      <c r="A428" s="169" t="s">
        <v>163</v>
      </c>
      <c r="B428" s="189" t="s">
        <v>425</v>
      </c>
      <c r="C428" s="185" t="s">
        <v>428</v>
      </c>
      <c r="D428" s="53">
        <f>SUM(D429+D431)</f>
        <v>10466000000</v>
      </c>
      <c r="E428" s="53">
        <f>E431</f>
        <v>3084000000</v>
      </c>
      <c r="F428" s="53">
        <f t="shared" ref="F428:G428" si="145">SUM(F429+F431)</f>
        <v>0</v>
      </c>
      <c r="G428" s="53">
        <f t="shared" si="145"/>
        <v>3084000000</v>
      </c>
      <c r="H428" s="236">
        <f>G428/D428</f>
        <v>0.29466845021975924</v>
      </c>
      <c r="I428" s="231"/>
      <c r="J428" s="175"/>
    </row>
    <row r="429" spans="1:10" s="176" customFormat="1" ht="25.5" customHeight="1" x14ac:dyDescent="0.25">
      <c r="A429" s="188"/>
      <c r="B429" s="189" t="s">
        <v>429</v>
      </c>
      <c r="C429" s="185" t="s">
        <v>430</v>
      </c>
      <c r="D429" s="55">
        <f>D430</f>
        <v>0</v>
      </c>
      <c r="E429" s="55"/>
      <c r="F429" s="55">
        <f>F430</f>
        <v>0</v>
      </c>
      <c r="G429" s="192">
        <f>F429-D429</f>
        <v>0</v>
      </c>
      <c r="H429" s="24"/>
      <c r="I429" s="231"/>
      <c r="J429" s="175"/>
    </row>
    <row r="430" spans="1:10" s="176" customFormat="1" ht="25.5" customHeight="1" x14ac:dyDescent="0.25">
      <c r="A430" s="188"/>
      <c r="B430" s="189" t="s">
        <v>431</v>
      </c>
      <c r="C430" s="185" t="s">
        <v>432</v>
      </c>
      <c r="D430" s="55"/>
      <c r="E430" s="55"/>
      <c r="F430" s="55"/>
      <c r="G430" s="192">
        <f>F430-D430</f>
        <v>0</v>
      </c>
      <c r="H430" s="24"/>
      <c r="I430" s="231"/>
      <c r="J430" s="175"/>
    </row>
    <row r="431" spans="1:10" s="176" customFormat="1" ht="25.5" customHeight="1" x14ac:dyDescent="0.25">
      <c r="A431" s="188"/>
      <c r="B431" s="189" t="s">
        <v>433</v>
      </c>
      <c r="C431" s="185" t="s">
        <v>434</v>
      </c>
      <c r="D431" s="53">
        <f>D432+D434+D435</f>
        <v>10466000000</v>
      </c>
      <c r="E431" s="53">
        <f>E432</f>
        <v>3084000000</v>
      </c>
      <c r="F431" s="53">
        <f t="shared" ref="F431:G431" si="146">F432+F434+F435</f>
        <v>0</v>
      </c>
      <c r="G431" s="53">
        <f t="shared" si="146"/>
        <v>3084000000</v>
      </c>
      <c r="H431" s="236">
        <f t="shared" ref="H431:H445" si="147">G431/D431</f>
        <v>0.29466845021975924</v>
      </c>
      <c r="I431" s="231"/>
      <c r="J431" s="175"/>
    </row>
    <row r="432" spans="1:10" s="176" customFormat="1" ht="25.5" customHeight="1" x14ac:dyDescent="0.25">
      <c r="A432" s="188"/>
      <c r="B432" s="189" t="s">
        <v>566</v>
      </c>
      <c r="C432" s="185" t="s">
        <v>445</v>
      </c>
      <c r="D432" s="53">
        <f>D433</f>
        <v>10466000000</v>
      </c>
      <c r="E432" s="53">
        <f>SUM(E433:E435)</f>
        <v>3084000000</v>
      </c>
      <c r="F432" s="53">
        <f t="shared" ref="F432:G432" si="148">F433</f>
        <v>0</v>
      </c>
      <c r="G432" s="53">
        <f t="shared" si="148"/>
        <v>3084000000</v>
      </c>
      <c r="H432" s="236">
        <f t="shared" si="147"/>
        <v>0.29466845021975924</v>
      </c>
      <c r="I432" s="231"/>
      <c r="J432" s="175"/>
    </row>
    <row r="433" spans="1:10" s="176" customFormat="1" ht="25.5" customHeight="1" x14ac:dyDescent="0.25">
      <c r="A433" s="188"/>
      <c r="B433" s="189"/>
      <c r="C433" s="35" t="s">
        <v>602</v>
      </c>
      <c r="D433" s="53">
        <v>10466000000</v>
      </c>
      <c r="E433" s="53">
        <f>'Realisasi Mei'!G438</f>
        <v>3084000000</v>
      </c>
      <c r="F433" s="53"/>
      <c r="G433" s="191">
        <f>E433+F433</f>
        <v>3084000000</v>
      </c>
      <c r="H433" s="236">
        <f t="shared" si="147"/>
        <v>0.29466845021975924</v>
      </c>
      <c r="I433" s="231"/>
      <c r="J433" s="175"/>
    </row>
    <row r="434" spans="1:10" s="176" customFormat="1" ht="25.5" customHeight="1" x14ac:dyDescent="0.25">
      <c r="A434" s="188"/>
      <c r="B434" s="189"/>
      <c r="C434" s="35" t="s">
        <v>603</v>
      </c>
      <c r="D434" s="53"/>
      <c r="E434" s="53"/>
      <c r="F434" s="53"/>
      <c r="G434" s="191">
        <f t="shared" ref="G434:G437" si="149">E434+F434</f>
        <v>0</v>
      </c>
      <c r="H434" s="236" t="e">
        <f t="shared" si="147"/>
        <v>#DIV/0!</v>
      </c>
      <c r="I434" s="231"/>
      <c r="J434" s="175"/>
    </row>
    <row r="435" spans="1:10" s="176" customFormat="1" ht="25.5" customHeight="1" x14ac:dyDescent="0.25">
      <c r="A435" s="188"/>
      <c r="B435" s="189"/>
      <c r="C435" s="35" t="s">
        <v>604</v>
      </c>
      <c r="D435" s="53">
        <f>SUM(D436:D437)</f>
        <v>0</v>
      </c>
      <c r="E435" s="53"/>
      <c r="F435" s="53">
        <f t="shared" ref="F435" si="150">SUM(F436:F437)</f>
        <v>0</v>
      </c>
      <c r="G435" s="191">
        <f t="shared" si="149"/>
        <v>0</v>
      </c>
      <c r="H435" s="236" t="e">
        <f t="shared" si="147"/>
        <v>#DIV/0!</v>
      </c>
      <c r="I435" s="231"/>
      <c r="J435" s="175"/>
    </row>
    <row r="436" spans="1:10" s="176" customFormat="1" ht="25.5" customHeight="1" x14ac:dyDescent="0.25">
      <c r="A436" s="188"/>
      <c r="B436" s="189"/>
      <c r="C436" s="193" t="s">
        <v>605</v>
      </c>
      <c r="D436" s="55"/>
      <c r="E436" s="55"/>
      <c r="F436" s="55"/>
      <c r="G436" s="191">
        <f t="shared" si="149"/>
        <v>0</v>
      </c>
      <c r="H436" s="24" t="e">
        <f t="shared" si="147"/>
        <v>#DIV/0!</v>
      </c>
      <c r="I436" s="231"/>
      <c r="J436" s="175"/>
    </row>
    <row r="437" spans="1:10" s="176" customFormat="1" ht="25.5" customHeight="1" x14ac:dyDescent="0.25">
      <c r="A437" s="188"/>
      <c r="B437" s="178"/>
      <c r="C437" s="193" t="s">
        <v>606</v>
      </c>
      <c r="D437" s="55"/>
      <c r="E437" s="55"/>
      <c r="F437" s="55"/>
      <c r="G437" s="191">
        <f t="shared" si="149"/>
        <v>0</v>
      </c>
      <c r="H437" s="24" t="e">
        <f t="shared" si="147"/>
        <v>#DIV/0!</v>
      </c>
      <c r="I437" s="231"/>
      <c r="J437" s="175"/>
    </row>
    <row r="438" spans="1:10" s="176" customFormat="1" ht="25.5" customHeight="1" x14ac:dyDescent="0.25">
      <c r="A438" s="129" t="s">
        <v>241</v>
      </c>
      <c r="B438" s="128" t="s">
        <v>242</v>
      </c>
      <c r="C438" s="41" t="s">
        <v>243</v>
      </c>
      <c r="D438" s="42">
        <f>D439</f>
        <v>0</v>
      </c>
      <c r="E438" s="42"/>
      <c r="F438" s="42">
        <f t="shared" ref="F438:G439" si="151">F439</f>
        <v>0</v>
      </c>
      <c r="G438" s="42">
        <f t="shared" si="151"/>
        <v>0</v>
      </c>
      <c r="H438" s="237" t="e">
        <f t="shared" si="147"/>
        <v>#DIV/0!</v>
      </c>
      <c r="I438" s="231"/>
      <c r="J438" s="175"/>
    </row>
    <row r="439" spans="1:10" s="176" customFormat="1" ht="41.25" customHeight="1" x14ac:dyDescent="0.25">
      <c r="A439" s="168" t="s">
        <v>166</v>
      </c>
      <c r="B439" s="189" t="s">
        <v>418</v>
      </c>
      <c r="C439" s="30" t="s">
        <v>419</v>
      </c>
      <c r="D439" s="191">
        <f>D440</f>
        <v>0</v>
      </c>
      <c r="E439" s="191"/>
      <c r="F439" s="191">
        <f t="shared" si="151"/>
        <v>0</v>
      </c>
      <c r="G439" s="191">
        <f t="shared" si="151"/>
        <v>0</v>
      </c>
      <c r="H439" s="236" t="e">
        <f t="shared" si="147"/>
        <v>#DIV/0!</v>
      </c>
      <c r="I439" s="231"/>
      <c r="J439" s="175"/>
    </row>
    <row r="440" spans="1:10" s="176" customFormat="1" ht="25.5" customHeight="1" x14ac:dyDescent="0.25">
      <c r="A440" s="169"/>
      <c r="B440" s="189" t="s">
        <v>420</v>
      </c>
      <c r="C440" s="185" t="s">
        <v>421</v>
      </c>
      <c r="D440" s="191">
        <f>D441+D455</f>
        <v>0</v>
      </c>
      <c r="E440" s="191"/>
      <c r="F440" s="191">
        <f t="shared" ref="F440:G440" si="152">F441+F455</f>
        <v>0</v>
      </c>
      <c r="G440" s="191">
        <f t="shared" si="152"/>
        <v>0</v>
      </c>
      <c r="H440" s="236" t="e">
        <f t="shared" si="147"/>
        <v>#DIV/0!</v>
      </c>
      <c r="I440" s="231"/>
      <c r="J440" s="175"/>
    </row>
    <row r="441" spans="1:10" s="176" customFormat="1" ht="25.5" customHeight="1" x14ac:dyDescent="0.25">
      <c r="A441" s="168" t="s">
        <v>89</v>
      </c>
      <c r="B441" s="189" t="s">
        <v>422</v>
      </c>
      <c r="C441" s="185" t="s">
        <v>423</v>
      </c>
      <c r="D441" s="191">
        <f>D442</f>
        <v>0</v>
      </c>
      <c r="E441" s="191"/>
      <c r="F441" s="191">
        <f t="shared" ref="F441:G441" si="153">F442</f>
        <v>0</v>
      </c>
      <c r="G441" s="191">
        <f t="shared" si="153"/>
        <v>0</v>
      </c>
      <c r="H441" s="236" t="e">
        <f t="shared" si="147"/>
        <v>#DIV/0!</v>
      </c>
      <c r="I441" s="231"/>
      <c r="J441" s="175"/>
    </row>
    <row r="442" spans="1:10" s="176" customFormat="1" ht="25.5" customHeight="1" x14ac:dyDescent="0.25">
      <c r="A442" s="169"/>
      <c r="B442" s="190" t="s">
        <v>424</v>
      </c>
      <c r="C442" s="183" t="s">
        <v>423</v>
      </c>
      <c r="D442" s="192"/>
      <c r="E442" s="192"/>
      <c r="F442" s="192"/>
      <c r="G442" s="192">
        <f>E442+F442</f>
        <v>0</v>
      </c>
      <c r="H442" s="24" t="e">
        <f t="shared" si="147"/>
        <v>#DIV/0!</v>
      </c>
      <c r="I442" s="231"/>
      <c r="J442" s="175"/>
    </row>
    <row r="443" spans="1:10" s="176" customFormat="1" ht="25.5" customHeight="1" x14ac:dyDescent="0.25">
      <c r="A443" s="169"/>
      <c r="B443" s="190"/>
      <c r="C443" s="193" t="s">
        <v>607</v>
      </c>
      <c r="D443" s="192"/>
      <c r="E443" s="192"/>
      <c r="F443" s="192"/>
      <c r="G443" s="192"/>
      <c r="H443" s="24" t="e">
        <f t="shared" si="147"/>
        <v>#DIV/0!</v>
      </c>
      <c r="I443" s="231"/>
      <c r="J443" s="175"/>
    </row>
    <row r="444" spans="1:10" s="176" customFormat="1" ht="25.5" customHeight="1" x14ac:dyDescent="0.25">
      <c r="A444" s="169"/>
      <c r="B444" s="190"/>
      <c r="C444" s="193" t="s">
        <v>608</v>
      </c>
      <c r="D444" s="192"/>
      <c r="E444" s="192"/>
      <c r="F444" s="192"/>
      <c r="G444" s="192"/>
      <c r="H444" s="24" t="e">
        <f t="shared" si="147"/>
        <v>#DIV/0!</v>
      </c>
      <c r="I444" s="231"/>
      <c r="J444" s="175"/>
    </row>
    <row r="445" spans="1:10" s="176" customFormat="1" ht="25.5" customHeight="1" x14ac:dyDescent="0.25">
      <c r="A445" s="169"/>
      <c r="B445" s="190"/>
      <c r="C445" s="193" t="s">
        <v>609</v>
      </c>
      <c r="D445" s="192"/>
      <c r="E445" s="192"/>
      <c r="F445" s="192"/>
      <c r="G445" s="192"/>
      <c r="H445" s="24" t="e">
        <f t="shared" si="147"/>
        <v>#DIV/0!</v>
      </c>
      <c r="I445" s="231"/>
      <c r="J445" s="175"/>
    </row>
    <row r="446" spans="1:10" s="176" customFormat="1" ht="25.5" customHeight="1" x14ac:dyDescent="0.25">
      <c r="A446" s="169"/>
      <c r="B446" s="190"/>
      <c r="C446" s="183" t="s">
        <v>610</v>
      </c>
      <c r="D446" s="192"/>
      <c r="E446" s="192"/>
      <c r="F446" s="192"/>
      <c r="G446" s="192"/>
      <c r="H446" s="24"/>
      <c r="I446" s="231"/>
      <c r="J446" s="175"/>
    </row>
    <row r="447" spans="1:10" s="176" customFormat="1" ht="25.5" customHeight="1" x14ac:dyDescent="0.25">
      <c r="A447" s="169"/>
      <c r="B447" s="190"/>
      <c r="C447" s="183" t="s">
        <v>611</v>
      </c>
      <c r="D447" s="192"/>
      <c r="E447" s="192"/>
      <c r="F447" s="192"/>
      <c r="G447" s="192"/>
      <c r="H447" s="24"/>
      <c r="I447" s="231"/>
      <c r="J447" s="175"/>
    </row>
    <row r="448" spans="1:10" s="176" customFormat="1" ht="25.5" customHeight="1" x14ac:dyDescent="0.25">
      <c r="A448" s="169"/>
      <c r="B448" s="190"/>
      <c r="C448" s="183" t="s">
        <v>612</v>
      </c>
      <c r="D448" s="192"/>
      <c r="E448" s="192"/>
      <c r="F448" s="192"/>
      <c r="G448" s="192"/>
      <c r="H448" s="24"/>
      <c r="I448" s="231"/>
      <c r="J448" s="175"/>
    </row>
    <row r="449" spans="1:10" s="176" customFormat="1" ht="25.5" customHeight="1" x14ac:dyDescent="0.25">
      <c r="A449" s="169"/>
      <c r="B449" s="190"/>
      <c r="C449" s="183" t="s">
        <v>613</v>
      </c>
      <c r="D449" s="192"/>
      <c r="E449" s="192"/>
      <c r="F449" s="192"/>
      <c r="G449" s="192"/>
      <c r="H449" s="24"/>
      <c r="I449" s="231"/>
      <c r="J449" s="175"/>
    </row>
    <row r="450" spans="1:10" s="176" customFormat="1" ht="25.5" customHeight="1" x14ac:dyDescent="0.25">
      <c r="A450" s="169"/>
      <c r="B450" s="190"/>
      <c r="C450" s="193" t="s">
        <v>614</v>
      </c>
      <c r="D450" s="192"/>
      <c r="E450" s="192"/>
      <c r="F450" s="192"/>
      <c r="G450" s="192"/>
      <c r="H450" s="24" t="e">
        <f>G450/D450</f>
        <v>#DIV/0!</v>
      </c>
      <c r="I450" s="231"/>
      <c r="J450" s="175"/>
    </row>
    <row r="451" spans="1:10" s="176" customFormat="1" ht="25.5" customHeight="1" x14ac:dyDescent="0.25">
      <c r="A451" s="169"/>
      <c r="B451" s="190"/>
      <c r="C451" s="183" t="s">
        <v>616</v>
      </c>
      <c r="D451" s="192"/>
      <c r="E451" s="192"/>
      <c r="F451" s="192"/>
      <c r="G451" s="192"/>
      <c r="H451" s="24"/>
      <c r="I451" s="231"/>
      <c r="J451" s="175"/>
    </row>
    <row r="452" spans="1:10" s="176" customFormat="1" ht="25.5" customHeight="1" x14ac:dyDescent="0.25">
      <c r="A452" s="169"/>
      <c r="B452" s="190"/>
      <c r="C452" s="183" t="s">
        <v>615</v>
      </c>
      <c r="D452" s="192"/>
      <c r="E452" s="192"/>
      <c r="F452" s="192"/>
      <c r="G452" s="192"/>
      <c r="H452" s="24"/>
      <c r="I452" s="231"/>
      <c r="J452" s="175"/>
    </row>
    <row r="453" spans="1:10" s="176" customFormat="1" ht="25.5" customHeight="1" x14ac:dyDescent="0.25">
      <c r="A453" s="169"/>
      <c r="B453" s="190"/>
      <c r="C453" s="183" t="s">
        <v>617</v>
      </c>
      <c r="D453" s="192"/>
      <c r="E453" s="192"/>
      <c r="F453" s="192"/>
      <c r="G453" s="192"/>
      <c r="H453" s="24"/>
      <c r="I453" s="231"/>
      <c r="J453" s="175"/>
    </row>
    <row r="454" spans="1:10" s="176" customFormat="1" ht="25.5" customHeight="1" x14ac:dyDescent="0.25">
      <c r="A454" s="169"/>
      <c r="B454" s="190"/>
      <c r="C454" s="183"/>
      <c r="D454" s="192"/>
      <c r="E454" s="192"/>
      <c r="F454" s="192"/>
      <c r="G454" s="192"/>
      <c r="H454" s="24"/>
      <c r="I454" s="231"/>
      <c r="J454" s="175"/>
    </row>
    <row r="455" spans="1:10" s="176" customFormat="1" ht="25.5" customHeight="1" x14ac:dyDescent="0.25">
      <c r="A455" s="168" t="s">
        <v>91</v>
      </c>
      <c r="B455" s="189" t="s">
        <v>618</v>
      </c>
      <c r="C455" s="185" t="s">
        <v>620</v>
      </c>
      <c r="D455" s="191">
        <f>D456</f>
        <v>0</v>
      </c>
      <c r="E455" s="191"/>
      <c r="F455" s="191">
        <f t="shared" ref="F455:G455" si="154">F456</f>
        <v>0</v>
      </c>
      <c r="G455" s="191">
        <f t="shared" si="154"/>
        <v>0</v>
      </c>
      <c r="H455" s="236" t="e">
        <f>G455/D455</f>
        <v>#DIV/0!</v>
      </c>
      <c r="I455" s="231"/>
      <c r="J455" s="175"/>
    </row>
    <row r="456" spans="1:10" s="176" customFormat="1" ht="32.25" customHeight="1" x14ac:dyDescent="0.25">
      <c r="A456" s="169"/>
      <c r="B456" s="190" t="s">
        <v>619</v>
      </c>
      <c r="C456" s="58" t="s">
        <v>621</v>
      </c>
      <c r="D456" s="192">
        <v>0</v>
      </c>
      <c r="E456" s="192"/>
      <c r="F456" s="192"/>
      <c r="G456" s="192"/>
      <c r="H456" s="24" t="e">
        <f>G456/D456</f>
        <v>#DIV/0!</v>
      </c>
      <c r="I456" s="231"/>
      <c r="J456" s="175"/>
    </row>
    <row r="457" spans="1:10" s="176" customFormat="1" ht="25.5" customHeight="1" x14ac:dyDescent="0.25">
      <c r="A457" s="169"/>
      <c r="B457" s="190"/>
      <c r="C457" s="183"/>
      <c r="D457" s="192"/>
      <c r="E457" s="192"/>
      <c r="F457" s="192"/>
      <c r="G457" s="192"/>
      <c r="H457" s="24"/>
      <c r="I457" s="231"/>
      <c r="J457" s="175"/>
    </row>
    <row r="458" spans="1:10" s="176" customFormat="1" ht="30.75" customHeight="1" thickBot="1" x14ac:dyDescent="0.3">
      <c r="A458" s="59"/>
      <c r="B458" s="60"/>
      <c r="C458" s="61" t="s">
        <v>249</v>
      </c>
      <c r="D458" s="62">
        <f>D11</f>
        <v>1277356744453.6699</v>
      </c>
      <c r="E458" s="62">
        <f>E11</f>
        <v>447247784480.79999</v>
      </c>
      <c r="F458" s="62">
        <f t="shared" ref="F458:G458" si="155">F11</f>
        <v>193171873314.16</v>
      </c>
      <c r="G458" s="62">
        <f t="shared" si="155"/>
        <v>640419657794.95996</v>
      </c>
      <c r="H458" s="242">
        <f>G458/D458</f>
        <v>0.50136319440570198</v>
      </c>
      <c r="I458" s="234"/>
      <c r="J458" s="175"/>
    </row>
    <row r="459" spans="1:10" s="176" customFormat="1" hidden="1" x14ac:dyDescent="0.25">
      <c r="A459" s="63"/>
      <c r="B459" s="64"/>
      <c r="C459" s="65"/>
      <c r="D459" s="66"/>
      <c r="E459" s="66"/>
      <c r="F459" s="66"/>
      <c r="G459" s="66"/>
      <c r="H459" s="66"/>
      <c r="I459" s="67" t="e">
        <f>SUM(F459/D459)</f>
        <v>#DIV/0!</v>
      </c>
      <c r="J459" s="175"/>
    </row>
    <row r="460" spans="1:10" s="176" customFormat="1" hidden="1" x14ac:dyDescent="0.25">
      <c r="A460" s="68" t="s">
        <v>250</v>
      </c>
      <c r="B460" s="69" t="s">
        <v>46</v>
      </c>
      <c r="C460" s="70" t="s">
        <v>251</v>
      </c>
      <c r="D460" s="71" t="e">
        <f>SUM(#REF!-#REF!)</f>
        <v>#REF!</v>
      </c>
      <c r="E460" s="71"/>
      <c r="F460" s="71" t="e">
        <f>SUM(#REF!-#REF!)</f>
        <v>#REF!</v>
      </c>
      <c r="G460" s="71"/>
      <c r="H460" s="71"/>
      <c r="I460" s="72" t="e">
        <f>SUM(F460/#REF!)</f>
        <v>#REF!</v>
      </c>
      <c r="J460" s="175"/>
    </row>
    <row r="461" spans="1:10" s="176" customFormat="1" hidden="1" x14ac:dyDescent="0.25">
      <c r="A461" s="68"/>
      <c r="B461" s="69" t="s">
        <v>252</v>
      </c>
      <c r="C461" s="70" t="s">
        <v>253</v>
      </c>
      <c r="D461" s="71" t="e">
        <f>SUM(#REF!-#REF!)</f>
        <v>#REF!</v>
      </c>
      <c r="E461" s="71"/>
      <c r="F461" s="71" t="e">
        <f>SUM(#REF!-#REF!)</f>
        <v>#REF!</v>
      </c>
      <c r="G461" s="71"/>
      <c r="H461" s="71"/>
      <c r="I461" s="72" t="e">
        <f>SUM(F461/#REF!)</f>
        <v>#REF!</v>
      </c>
      <c r="J461" s="175"/>
    </row>
    <row r="462" spans="1:10" s="176" customFormat="1" hidden="1" x14ac:dyDescent="0.25">
      <c r="A462" s="68"/>
      <c r="B462" s="69" t="s">
        <v>254</v>
      </c>
      <c r="C462" s="70" t="s">
        <v>255</v>
      </c>
      <c r="D462" s="71" t="e">
        <f>SUM(#REF!-#REF!)</f>
        <v>#REF!</v>
      </c>
      <c r="E462" s="71"/>
      <c r="F462" s="71" t="e">
        <f>SUM(#REF!-#REF!)</f>
        <v>#REF!</v>
      </c>
      <c r="G462" s="71"/>
      <c r="H462" s="71"/>
      <c r="I462" s="72" t="e">
        <f>SUM(F462/#REF!)</f>
        <v>#REF!</v>
      </c>
      <c r="J462" s="175"/>
    </row>
    <row r="463" spans="1:10" s="176" customFormat="1" hidden="1" x14ac:dyDescent="0.25">
      <c r="A463" s="68"/>
      <c r="B463" s="69" t="s">
        <v>256</v>
      </c>
      <c r="C463" s="70" t="s">
        <v>257</v>
      </c>
      <c r="D463" s="71" t="e">
        <f>SUM(#REF!-#REF!)</f>
        <v>#REF!</v>
      </c>
      <c r="E463" s="71"/>
      <c r="F463" s="71" t="e">
        <f>SUM(#REF!-#REF!)</f>
        <v>#REF!</v>
      </c>
      <c r="G463" s="71"/>
      <c r="H463" s="71"/>
      <c r="I463" s="72">
        <v>1</v>
      </c>
      <c r="J463" s="175"/>
    </row>
    <row r="464" spans="1:10" s="176" customFormat="1" hidden="1" x14ac:dyDescent="0.25">
      <c r="A464" s="68"/>
      <c r="B464" s="69" t="s">
        <v>258</v>
      </c>
      <c r="C464" s="70" t="s">
        <v>259</v>
      </c>
      <c r="D464" s="71" t="e">
        <f>SUM(#REF!-#REF!)</f>
        <v>#REF!</v>
      </c>
      <c r="E464" s="71"/>
      <c r="F464" s="71" t="e">
        <f>SUM(#REF!-#REF!)</f>
        <v>#REF!</v>
      </c>
      <c r="G464" s="71"/>
      <c r="H464" s="71"/>
      <c r="I464" s="72">
        <v>1</v>
      </c>
      <c r="J464" s="175"/>
    </row>
    <row r="465" spans="1:10" s="176" customFormat="1" hidden="1" x14ac:dyDescent="0.25">
      <c r="A465" s="68"/>
      <c r="B465" s="73" t="s">
        <v>260</v>
      </c>
      <c r="C465" s="74" t="s">
        <v>261</v>
      </c>
      <c r="D465" s="38" t="e">
        <f>SUM(#REF!-#REF!)</f>
        <v>#REF!</v>
      </c>
      <c r="E465" s="38"/>
      <c r="F465" s="38" t="e">
        <f>SUM(#REF!-#REF!)</f>
        <v>#REF!</v>
      </c>
      <c r="G465" s="38"/>
      <c r="H465" s="38"/>
      <c r="I465" s="75">
        <v>1</v>
      </c>
      <c r="J465" s="175"/>
    </row>
    <row r="466" spans="1:10" s="176" customFormat="1" hidden="1" x14ac:dyDescent="0.25">
      <c r="A466" s="68"/>
      <c r="B466" s="76"/>
      <c r="C466" s="74" t="s">
        <v>262</v>
      </c>
      <c r="D466" s="38" t="e">
        <f>SUM(#REF!-#REF!)</f>
        <v>#REF!</v>
      </c>
      <c r="E466" s="38"/>
      <c r="F466" s="38" t="e">
        <f>SUM(#REF!-#REF!)</f>
        <v>#REF!</v>
      </c>
      <c r="G466" s="38"/>
      <c r="H466" s="38"/>
      <c r="I466" s="75">
        <v>1</v>
      </c>
      <c r="J466" s="175"/>
    </row>
    <row r="467" spans="1:10" s="176" customFormat="1" ht="18" hidden="1" customHeight="1" x14ac:dyDescent="0.25">
      <c r="A467" s="68"/>
      <c r="B467" s="77"/>
      <c r="C467" s="78" t="s">
        <v>263</v>
      </c>
      <c r="D467" s="38" t="e">
        <f>SUM(#REF!-#REF!)</f>
        <v>#REF!</v>
      </c>
      <c r="E467" s="38"/>
      <c r="F467" s="38" t="e">
        <f>SUM(#REF!-#REF!)</f>
        <v>#REF!</v>
      </c>
      <c r="G467" s="38"/>
      <c r="H467" s="38"/>
      <c r="I467" s="72" t="e">
        <f>SUM(F467/#REF!)</f>
        <v>#REF!</v>
      </c>
      <c r="J467" s="175"/>
    </row>
    <row r="468" spans="1:10" s="175" customFormat="1" x14ac:dyDescent="0.25">
      <c r="A468" s="1"/>
      <c r="B468" s="79"/>
      <c r="C468" s="316"/>
      <c r="D468" s="80"/>
      <c r="E468" s="80"/>
      <c r="F468" s="80"/>
      <c r="G468" s="80"/>
      <c r="H468" s="80"/>
      <c r="I468" s="316"/>
    </row>
    <row r="469" spans="1:10" s="175" customFormat="1" x14ac:dyDescent="0.25">
      <c r="A469" s="1"/>
      <c r="B469" s="79"/>
      <c r="C469" s="316"/>
      <c r="D469" s="194"/>
      <c r="E469" s="194"/>
      <c r="F469" s="194"/>
      <c r="G469" s="194"/>
      <c r="H469" s="194"/>
    </row>
    <row r="470" spans="1:10" s="175" customFormat="1" x14ac:dyDescent="0.25">
      <c r="A470" s="287"/>
      <c r="B470" s="288"/>
      <c r="C470" s="316"/>
      <c r="G470" s="291" t="s">
        <v>679</v>
      </c>
      <c r="H470" s="194"/>
    </row>
    <row r="471" spans="1:10" s="175" customFormat="1" x14ac:dyDescent="0.25">
      <c r="A471" s="1"/>
      <c r="B471" s="79"/>
      <c r="C471" s="316"/>
      <c r="G471" s="291" t="s">
        <v>630</v>
      </c>
      <c r="H471" s="201"/>
    </row>
    <row r="472" spans="1:10" s="175" customFormat="1" x14ac:dyDescent="0.25">
      <c r="A472" s="1"/>
      <c r="B472" s="79"/>
      <c r="C472" s="316"/>
      <c r="G472" s="291"/>
      <c r="H472" s="195"/>
    </row>
    <row r="473" spans="1:10" s="175" customFormat="1" x14ac:dyDescent="0.25">
      <c r="A473" s="1"/>
      <c r="B473" s="79"/>
      <c r="C473" s="316"/>
      <c r="G473" s="291"/>
      <c r="H473" s="195"/>
    </row>
    <row r="474" spans="1:10" s="175" customFormat="1" x14ac:dyDescent="0.25">
      <c r="A474" s="1"/>
      <c r="B474" s="79"/>
      <c r="C474" s="316"/>
      <c r="G474" s="291"/>
      <c r="H474" s="195"/>
    </row>
    <row r="475" spans="1:10" s="175" customFormat="1" x14ac:dyDescent="0.25">
      <c r="A475" s="1"/>
      <c r="B475" s="79"/>
      <c r="C475" s="316"/>
      <c r="G475" s="292" t="s">
        <v>579</v>
      </c>
      <c r="H475" s="195"/>
    </row>
    <row r="476" spans="1:10" s="175" customFormat="1" x14ac:dyDescent="0.25">
      <c r="A476" s="1"/>
      <c r="B476" s="79"/>
      <c r="C476" s="316"/>
      <c r="G476" s="291" t="s">
        <v>577</v>
      </c>
      <c r="H476" s="201"/>
    </row>
    <row r="477" spans="1:10" x14ac:dyDescent="0.25">
      <c r="G477" s="291" t="s">
        <v>576</v>
      </c>
    </row>
  </sheetData>
  <mergeCells count="11">
    <mergeCell ref="I7:I8"/>
    <mergeCell ref="B2:C2"/>
    <mergeCell ref="B3:C3"/>
    <mergeCell ref="B4:C4"/>
    <mergeCell ref="B5:C5"/>
    <mergeCell ref="F6:H6"/>
    <mergeCell ref="A7:A8"/>
    <mergeCell ref="B7:B8"/>
    <mergeCell ref="C7:C8"/>
    <mergeCell ref="E7:G7"/>
    <mergeCell ref="H7:H8"/>
  </mergeCells>
  <pageMargins left="0.59" right="0.15748031496062992" top="1.27" bottom="0.47244094488188981" header="0.39370078740157483" footer="0.23622047244094491"/>
  <pageSetup paperSize="9" scale="5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M61"/>
  <sheetViews>
    <sheetView topLeftCell="A4" zoomScale="79" zoomScaleNormal="79" workbookViewId="0">
      <selection activeCell="J22" sqref="J22"/>
    </sheetView>
  </sheetViews>
  <sheetFormatPr defaultColWidth="9.28515625" defaultRowHeight="13.15" customHeight="1" x14ac:dyDescent="0.25"/>
  <cols>
    <col min="1" max="1" width="6.7109375" style="113" customWidth="1"/>
    <col min="2" max="2" width="16.140625" style="113" customWidth="1"/>
    <col min="3" max="3" width="56" style="81" customWidth="1"/>
    <col min="4" max="4" width="29.5703125" style="81" customWidth="1"/>
    <col min="5" max="5" width="29.140625" style="81" customWidth="1"/>
    <col min="6" max="6" width="28.42578125" style="81" customWidth="1"/>
    <col min="7" max="7" width="28.85546875" style="81" customWidth="1"/>
    <col min="8" max="8" width="12.85546875" style="81" bestFit="1" customWidth="1"/>
    <col min="9" max="9" width="27.7109375" style="271" bestFit="1" customWidth="1"/>
    <col min="10" max="10" width="33" style="271" customWidth="1"/>
    <col min="11" max="11" width="26.5703125" style="81" bestFit="1" customWidth="1"/>
    <col min="12" max="12" width="24.28515625" style="81" bestFit="1" customWidth="1"/>
    <col min="13" max="13" width="23.5703125" style="81" customWidth="1"/>
    <col min="14" max="30" width="9.28515625" style="81" customWidth="1"/>
    <col min="31" max="16384" width="9.28515625" style="81"/>
  </cols>
  <sheetData>
    <row r="2" spans="1:13" ht="17.25" customHeight="1" x14ac:dyDescent="0.25">
      <c r="B2" s="452" t="s">
        <v>0</v>
      </c>
      <c r="C2" s="452"/>
      <c r="D2" s="452"/>
      <c r="E2" s="5" t="s">
        <v>486</v>
      </c>
      <c r="F2" s="5"/>
      <c r="G2" s="175"/>
      <c r="H2" s="175"/>
    </row>
    <row r="3" spans="1:13" ht="17.25" customHeight="1" x14ac:dyDescent="0.25">
      <c r="B3" s="445" t="s">
        <v>480</v>
      </c>
      <c r="C3" s="445"/>
      <c r="D3" s="445"/>
      <c r="E3" s="5" t="s">
        <v>631</v>
      </c>
      <c r="F3" s="5"/>
      <c r="G3" s="175"/>
      <c r="H3" s="175"/>
    </row>
    <row r="4" spans="1:13" ht="23.25" customHeight="1" x14ac:dyDescent="0.25">
      <c r="B4" s="453" t="s">
        <v>481</v>
      </c>
      <c r="C4" s="453"/>
      <c r="D4" s="453"/>
      <c r="E4" s="6" t="s">
        <v>681</v>
      </c>
      <c r="F4" s="6"/>
      <c r="G4" s="175"/>
      <c r="H4" s="175"/>
    </row>
    <row r="5" spans="1:13" ht="23.25" customHeight="1" x14ac:dyDescent="0.25">
      <c r="B5" s="453"/>
      <c r="C5" s="453"/>
      <c r="D5" s="6"/>
      <c r="E5" s="6"/>
      <c r="F5" s="175"/>
      <c r="G5" s="175"/>
      <c r="H5" s="175"/>
    </row>
    <row r="6" spans="1:13" ht="21" customHeight="1" x14ac:dyDescent="0.25">
      <c r="B6" s="325"/>
      <c r="C6" s="325"/>
      <c r="D6" s="7"/>
      <c r="E6" s="7"/>
      <c r="F6" s="449"/>
      <c r="G6" s="449"/>
      <c r="H6" s="449"/>
    </row>
    <row r="7" spans="1:13" ht="21" customHeight="1" thickBot="1" x14ac:dyDescent="0.3">
      <c r="B7" s="325"/>
      <c r="C7" s="325"/>
      <c r="D7" s="7"/>
      <c r="E7" s="7"/>
      <c r="F7" s="449"/>
      <c r="G7" s="449"/>
      <c r="H7" s="449"/>
    </row>
    <row r="8" spans="1:13" s="83" customFormat="1" ht="23.25" customHeight="1" x14ac:dyDescent="0.25">
      <c r="A8" s="435" t="s">
        <v>2</v>
      </c>
      <c r="B8" s="437" t="s">
        <v>3</v>
      </c>
      <c r="C8" s="437" t="s">
        <v>4</v>
      </c>
      <c r="D8" s="202" t="s">
        <v>5</v>
      </c>
      <c r="E8" s="441" t="s">
        <v>475</v>
      </c>
      <c r="F8" s="441"/>
      <c r="G8" s="441"/>
      <c r="H8" s="454" t="s">
        <v>6</v>
      </c>
      <c r="I8" s="272"/>
      <c r="J8" s="272"/>
    </row>
    <row r="9" spans="1:13" s="83" customFormat="1" ht="23.25" customHeight="1" x14ac:dyDescent="0.25">
      <c r="A9" s="436"/>
      <c r="B9" s="438"/>
      <c r="C9" s="438"/>
      <c r="D9" s="203" t="s">
        <v>632</v>
      </c>
      <c r="E9" s="251" t="s">
        <v>476</v>
      </c>
      <c r="F9" s="251" t="s">
        <v>477</v>
      </c>
      <c r="G9" s="251" t="s">
        <v>478</v>
      </c>
      <c r="H9" s="455"/>
      <c r="I9" s="272"/>
      <c r="J9" s="272"/>
    </row>
    <row r="10" spans="1:13" ht="15.75" customHeight="1" x14ac:dyDescent="0.25">
      <c r="A10" s="11">
        <v>1</v>
      </c>
      <c r="B10" s="12">
        <v>2</v>
      </c>
      <c r="C10" s="13">
        <v>3</v>
      </c>
      <c r="D10" s="14">
        <v>4</v>
      </c>
      <c r="E10" s="14">
        <v>5</v>
      </c>
      <c r="F10" s="14">
        <v>6</v>
      </c>
      <c r="G10" s="15" t="s">
        <v>582</v>
      </c>
      <c r="H10" s="235" t="s">
        <v>583</v>
      </c>
    </row>
    <row r="11" spans="1:13" ht="20.25" customHeight="1" x14ac:dyDescent="0.25">
      <c r="A11" s="318"/>
      <c r="B11" s="199" t="s">
        <v>473</v>
      </c>
      <c r="C11" s="200" t="s">
        <v>9</v>
      </c>
      <c r="D11" s="275">
        <f>D35</f>
        <v>1277356744453.6699</v>
      </c>
      <c r="E11" s="275">
        <f>E12+E20+E30</f>
        <v>447247784480.79999</v>
      </c>
      <c r="F11" s="275">
        <f>F12+F20+F30</f>
        <v>193171873314.16</v>
      </c>
      <c r="G11" s="275">
        <f>G12+G20+G30</f>
        <v>640419657794.95996</v>
      </c>
      <c r="H11" s="276">
        <f>G11/D11</f>
        <v>0.50136319440570198</v>
      </c>
      <c r="I11" s="418"/>
      <c r="J11" s="418"/>
      <c r="K11" s="418"/>
      <c r="L11" s="271"/>
    </row>
    <row r="12" spans="1:13" ht="20.25" customHeight="1" x14ac:dyDescent="0.25">
      <c r="A12" s="149" t="s">
        <v>426</v>
      </c>
      <c r="B12" s="150" t="s">
        <v>11</v>
      </c>
      <c r="C12" s="151" t="s">
        <v>443</v>
      </c>
      <c r="D12" s="152">
        <f>SUM(D13+D14+D18+D19)</f>
        <v>392981073389.67004</v>
      </c>
      <c r="E12" s="152">
        <f t="shared" ref="E12:G12" si="0">SUM(E13+E14+E18+E19)</f>
        <v>156727843759.79999</v>
      </c>
      <c r="F12" s="152">
        <f t="shared" si="0"/>
        <v>87515089204.160004</v>
      </c>
      <c r="G12" s="152">
        <f t="shared" si="0"/>
        <v>244242932963.96002</v>
      </c>
      <c r="H12" s="243">
        <f>G12/D12</f>
        <v>0.62151322163491307</v>
      </c>
      <c r="I12" s="327"/>
      <c r="J12" s="329"/>
      <c r="K12" s="327">
        <f t="shared" ref="K12" si="1">G11-K11</f>
        <v>640419657794.95996</v>
      </c>
    </row>
    <row r="13" spans="1:13" ht="20.25" customHeight="1" x14ac:dyDescent="0.25">
      <c r="A13" s="319" t="s">
        <v>19</v>
      </c>
      <c r="B13" s="256" t="s">
        <v>345</v>
      </c>
      <c r="C13" s="265" t="s">
        <v>264</v>
      </c>
      <c r="D13" s="258">
        <v>197002700000</v>
      </c>
      <c r="E13" s="258">
        <f>'Rkp Mei'!G13</f>
        <v>46645575375.360001</v>
      </c>
      <c r="F13" s="258">
        <f>'Realisasi Juni'!F13</f>
        <v>69840924390</v>
      </c>
      <c r="G13" s="258">
        <f>E13+F13</f>
        <v>116486499765.36</v>
      </c>
      <c r="H13" s="259">
        <f t="shared" ref="H13:H34" si="2">G13/D13</f>
        <v>0.5912939252373699</v>
      </c>
      <c r="J13" s="295"/>
      <c r="M13" s="90"/>
    </row>
    <row r="14" spans="1:13" ht="20.25" customHeight="1" x14ac:dyDescent="0.25">
      <c r="A14" s="320" t="s">
        <v>39</v>
      </c>
      <c r="B14" s="266" t="s">
        <v>346</v>
      </c>
      <c r="C14" s="267" t="s">
        <v>265</v>
      </c>
      <c r="D14" s="268">
        <f>SUM(D15:D17)</f>
        <v>47985440000</v>
      </c>
      <c r="E14" s="268">
        <f>SUM(E15:E17)</f>
        <v>10146923188.25</v>
      </c>
      <c r="F14" s="268">
        <f>SUM(F15:F17)</f>
        <v>2703844150.9200001</v>
      </c>
      <c r="G14" s="268">
        <f>SUM(G15:G17)</f>
        <v>12850767339.17</v>
      </c>
      <c r="H14" s="269">
        <f t="shared" si="2"/>
        <v>0.26780555391739663</v>
      </c>
      <c r="J14" s="329"/>
      <c r="M14" s="90"/>
    </row>
    <row r="15" spans="1:13" ht="20.25" customHeight="1" x14ac:dyDescent="0.25">
      <c r="A15" s="321"/>
      <c r="B15" s="86" t="s">
        <v>288</v>
      </c>
      <c r="C15" s="87" t="s">
        <v>55</v>
      </c>
      <c r="D15" s="88">
        <v>4579475000</v>
      </c>
      <c r="E15" s="88">
        <f>'Rkp Mei'!G15</f>
        <v>743481150</v>
      </c>
      <c r="F15" s="88">
        <f>'Realisasi Juni'!F30+'Realisasi Juni'!F55+'Realisasi Juni'!F60+'Realisasi Juni'!F94</f>
        <v>225128100</v>
      </c>
      <c r="G15" s="88">
        <f>E15+F15</f>
        <v>968609250</v>
      </c>
      <c r="H15" s="245">
        <f t="shared" si="2"/>
        <v>0.21151098106223967</v>
      </c>
      <c r="J15" s="329"/>
      <c r="M15" s="90"/>
    </row>
    <row r="16" spans="1:13" ht="20.25" customHeight="1" x14ac:dyDescent="0.25">
      <c r="A16" s="321"/>
      <c r="B16" s="86" t="s">
        <v>285</v>
      </c>
      <c r="C16" s="87" t="s">
        <v>444</v>
      </c>
      <c r="D16" s="88">
        <v>28403965000</v>
      </c>
      <c r="E16" s="88">
        <f>'Rkp Mei'!G16</f>
        <v>8789604100</v>
      </c>
      <c r="F16" s="88">
        <f>'Realisasi Juni'!F41+'Realisasi Juni'!F50+'Realisasi Juni'!F65+'Realisasi Juni'!F77+'Realisasi Juni'!F89</f>
        <v>1747329150</v>
      </c>
      <c r="G16" s="88">
        <f t="shared" ref="G16:G19" si="3">E16+F16</f>
        <v>10536933250</v>
      </c>
      <c r="H16" s="245">
        <f t="shared" si="2"/>
        <v>0.37096698471498607</v>
      </c>
      <c r="J16" s="329"/>
      <c r="M16" s="90"/>
    </row>
    <row r="17" spans="1:13" ht="20.25" customHeight="1" x14ac:dyDescent="0.25">
      <c r="A17" s="321"/>
      <c r="B17" s="86" t="s">
        <v>298</v>
      </c>
      <c r="C17" s="87" t="s">
        <v>60</v>
      </c>
      <c r="D17" s="88">
        <v>15002000000</v>
      </c>
      <c r="E17" s="88">
        <f>'Rkp Mei'!G17</f>
        <v>613837938.25</v>
      </c>
      <c r="F17" s="88">
        <f>'Realisasi Juni'!F47</f>
        <v>731386900.91999996</v>
      </c>
      <c r="G17" s="88">
        <f t="shared" si="3"/>
        <v>1345224839.1700001</v>
      </c>
      <c r="H17" s="245">
        <f t="shared" si="2"/>
        <v>8.9669699984668713E-2</v>
      </c>
      <c r="J17" s="329"/>
      <c r="M17" s="90"/>
    </row>
    <row r="18" spans="1:13" ht="31.5" customHeight="1" x14ac:dyDescent="0.25">
      <c r="A18" s="320" t="s">
        <v>46</v>
      </c>
      <c r="B18" s="256" t="s">
        <v>347</v>
      </c>
      <c r="C18" s="257" t="s">
        <v>266</v>
      </c>
      <c r="D18" s="258">
        <v>1663748323.6700001</v>
      </c>
      <c r="E18" s="260">
        <f>'Rkp Mei'!G18</f>
        <v>1079761191</v>
      </c>
      <c r="F18" s="258">
        <f>'Realisasi Juni'!F98</f>
        <v>0</v>
      </c>
      <c r="G18" s="260">
        <f t="shared" si="3"/>
        <v>1079761191</v>
      </c>
      <c r="H18" s="259">
        <f t="shared" si="2"/>
        <v>0.64899310529022514</v>
      </c>
      <c r="I18" s="273"/>
      <c r="J18" s="329"/>
      <c r="M18" s="90"/>
    </row>
    <row r="19" spans="1:13" ht="20.25" customHeight="1" x14ac:dyDescent="0.25">
      <c r="A19" s="322" t="s">
        <v>8</v>
      </c>
      <c r="B19" s="266" t="s">
        <v>348</v>
      </c>
      <c r="C19" s="267" t="s">
        <v>96</v>
      </c>
      <c r="D19" s="268">
        <v>146329185066</v>
      </c>
      <c r="E19" s="260">
        <f>'Rkp Mei'!G19</f>
        <v>98855584005.190002</v>
      </c>
      <c r="F19" s="268">
        <f>'Realisasi Juni'!F104</f>
        <v>14970320663.240002</v>
      </c>
      <c r="G19" s="260">
        <f t="shared" si="3"/>
        <v>113825904668.43001</v>
      </c>
      <c r="H19" s="269">
        <f t="shared" si="2"/>
        <v>0.77787561392548055</v>
      </c>
      <c r="J19" s="329"/>
      <c r="M19" s="90"/>
    </row>
    <row r="20" spans="1:13" ht="20.25" customHeight="1" x14ac:dyDescent="0.25">
      <c r="A20" s="149" t="s">
        <v>163</v>
      </c>
      <c r="B20" s="150" t="s">
        <v>164</v>
      </c>
      <c r="C20" s="151" t="s">
        <v>268</v>
      </c>
      <c r="D20" s="155">
        <f>SUM(D21+D27)</f>
        <v>884375671064</v>
      </c>
      <c r="E20" s="155">
        <f>SUM(E21+E27)</f>
        <v>290519940721</v>
      </c>
      <c r="F20" s="155">
        <f>SUM(F21+F27)</f>
        <v>105656784110</v>
      </c>
      <c r="G20" s="155">
        <f>SUM(G21+G27)</f>
        <v>396176724831</v>
      </c>
      <c r="H20" s="243">
        <f t="shared" si="2"/>
        <v>0.44797334186540472</v>
      </c>
      <c r="K20" s="271"/>
    </row>
    <row r="21" spans="1:13" ht="20.25" customHeight="1" x14ac:dyDescent="0.25">
      <c r="A21" s="156" t="s">
        <v>416</v>
      </c>
      <c r="B21" s="157" t="s">
        <v>350</v>
      </c>
      <c r="C21" s="158" t="s">
        <v>351</v>
      </c>
      <c r="D21" s="159">
        <f>SUM(D22)</f>
        <v>768680341983</v>
      </c>
      <c r="E21" s="159">
        <f t="shared" ref="E21:G21" si="4">SUM(E22)</f>
        <v>252915210198</v>
      </c>
      <c r="F21" s="159">
        <f t="shared" si="4"/>
        <v>105656784110</v>
      </c>
      <c r="G21" s="159">
        <f t="shared" si="4"/>
        <v>358571994308</v>
      </c>
      <c r="H21" s="246">
        <f t="shared" si="2"/>
        <v>0.46647738302110775</v>
      </c>
      <c r="K21" s="271"/>
    </row>
    <row r="22" spans="1:13" ht="20.25" customHeight="1" x14ac:dyDescent="0.25">
      <c r="A22" s="160" t="s">
        <v>89</v>
      </c>
      <c r="B22" s="161" t="s">
        <v>352</v>
      </c>
      <c r="C22" s="162" t="s">
        <v>435</v>
      </c>
      <c r="D22" s="163">
        <f>SUM(D23:D26)</f>
        <v>768680341983</v>
      </c>
      <c r="E22" s="163">
        <f t="shared" ref="E22:G22" si="5">SUM(E23:E26)</f>
        <v>252915210198</v>
      </c>
      <c r="F22" s="163">
        <f>SUM(F23:F26)</f>
        <v>105656784110</v>
      </c>
      <c r="G22" s="163">
        <f t="shared" si="5"/>
        <v>358571994308</v>
      </c>
      <c r="H22" s="247">
        <f t="shared" si="2"/>
        <v>0.46647738302110775</v>
      </c>
      <c r="K22" s="332"/>
    </row>
    <row r="23" spans="1:13" ht="20.25" customHeight="1" x14ac:dyDescent="0.25">
      <c r="A23" s="323" t="s">
        <v>13</v>
      </c>
      <c r="B23" s="147" t="s">
        <v>353</v>
      </c>
      <c r="C23" s="148" t="s">
        <v>354</v>
      </c>
      <c r="D23" s="173">
        <v>154499794000</v>
      </c>
      <c r="E23" s="173">
        <f>'Rkp Mei'!G23</f>
        <v>53586975100</v>
      </c>
      <c r="F23" s="173">
        <f>'Realisasi Juni'!F231</f>
        <v>11403458640</v>
      </c>
      <c r="G23" s="173">
        <f>E23+F23</f>
        <v>64990433740</v>
      </c>
      <c r="H23" s="244">
        <f t="shared" si="2"/>
        <v>0.42065061743706922</v>
      </c>
    </row>
    <row r="24" spans="1:13" ht="20.25" customHeight="1" x14ac:dyDescent="0.25">
      <c r="A24" s="85" t="s">
        <v>16</v>
      </c>
      <c r="B24" s="86" t="s">
        <v>368</v>
      </c>
      <c r="C24" s="87" t="s">
        <v>436</v>
      </c>
      <c r="D24" s="88">
        <v>429554051000</v>
      </c>
      <c r="E24" s="173">
        <f>'Rkp Mei'!G24</f>
        <v>177169056138</v>
      </c>
      <c r="F24" s="88">
        <f>'Realisasi Juni'!F298</f>
        <v>71592340000</v>
      </c>
      <c r="G24" s="173">
        <f t="shared" ref="G24:G26" si="6">E24+F24</f>
        <v>248761396138</v>
      </c>
      <c r="H24" s="248">
        <f t="shared" si="2"/>
        <v>0.57911547000635788</v>
      </c>
    </row>
    <row r="25" spans="1:13" ht="20.25" customHeight="1" x14ac:dyDescent="0.25">
      <c r="A25" s="85" t="s">
        <v>86</v>
      </c>
      <c r="B25" s="86" t="s">
        <v>370</v>
      </c>
      <c r="C25" s="87" t="s">
        <v>437</v>
      </c>
      <c r="D25" s="88">
        <v>62721068973</v>
      </c>
      <c r="E25" s="173">
        <f>'Rkp Mei'!G25</f>
        <v>4124379500</v>
      </c>
      <c r="F25" s="88">
        <f>'Realisasi Juni'!F300</f>
        <v>7107998863</v>
      </c>
      <c r="G25" s="173">
        <f t="shared" si="6"/>
        <v>11232378363</v>
      </c>
      <c r="H25" s="248">
        <f t="shared" si="2"/>
        <v>0.17908461298443884</v>
      </c>
    </row>
    <row r="26" spans="1:13" ht="20.25" customHeight="1" x14ac:dyDescent="0.25">
      <c r="A26" s="91" t="s">
        <v>95</v>
      </c>
      <c r="B26" s="153" t="s">
        <v>384</v>
      </c>
      <c r="C26" s="154" t="s">
        <v>438</v>
      </c>
      <c r="D26" s="174">
        <v>121905428010</v>
      </c>
      <c r="E26" s="173">
        <f>'Rkp Mei'!G26</f>
        <v>18034799460</v>
      </c>
      <c r="F26" s="174">
        <f>'Realisasi Juni'!F369</f>
        <v>15552986607</v>
      </c>
      <c r="G26" s="173">
        <f t="shared" si="6"/>
        <v>33587786067</v>
      </c>
      <c r="H26" s="245">
        <f t="shared" si="2"/>
        <v>0.27552330208171505</v>
      </c>
    </row>
    <row r="27" spans="1:13" ht="20.25" customHeight="1" x14ac:dyDescent="0.25">
      <c r="A27" s="156" t="s">
        <v>440</v>
      </c>
      <c r="B27" s="157" t="s">
        <v>398</v>
      </c>
      <c r="C27" s="158" t="s">
        <v>399</v>
      </c>
      <c r="D27" s="159">
        <f>SUM(D28:D29)</f>
        <v>115695329081</v>
      </c>
      <c r="E27" s="159">
        <f t="shared" ref="E27:F27" si="7">SUM(E28:E29)</f>
        <v>37604730523</v>
      </c>
      <c r="F27" s="159">
        <f t="shared" si="7"/>
        <v>0</v>
      </c>
      <c r="G27" s="159">
        <f>E27+F27</f>
        <v>37604730523</v>
      </c>
      <c r="H27" s="246">
        <f t="shared" si="2"/>
        <v>0.32503240037177628</v>
      </c>
    </row>
    <row r="28" spans="1:13" ht="20.25" customHeight="1" x14ac:dyDescent="0.25">
      <c r="A28" s="323" t="s">
        <v>89</v>
      </c>
      <c r="B28" s="147" t="s">
        <v>400</v>
      </c>
      <c r="C28" s="148" t="s">
        <v>403</v>
      </c>
      <c r="D28" s="173">
        <v>105229329081</v>
      </c>
      <c r="E28" s="173">
        <f>'Rkp Mei'!G29</f>
        <v>34520730523</v>
      </c>
      <c r="F28" s="173">
        <f>'Realisasi Juni'!F415</f>
        <v>0</v>
      </c>
      <c r="G28" s="173">
        <f>E28+F28</f>
        <v>34520730523</v>
      </c>
      <c r="H28" s="244">
        <f t="shared" si="2"/>
        <v>0.32805236738160476</v>
      </c>
    </row>
    <row r="29" spans="1:13" ht="20.25" customHeight="1" x14ac:dyDescent="0.25">
      <c r="A29" s="91" t="s">
        <v>91</v>
      </c>
      <c r="B29" s="153" t="s">
        <v>425</v>
      </c>
      <c r="C29" s="154" t="s">
        <v>427</v>
      </c>
      <c r="D29" s="174">
        <v>10466000000</v>
      </c>
      <c r="E29" s="173">
        <f>'Rkp Mei'!G30</f>
        <v>3084000000</v>
      </c>
      <c r="F29" s="174">
        <f>'Realisasi Juni'!F428</f>
        <v>0</v>
      </c>
      <c r="G29" s="173">
        <f>E29+F29</f>
        <v>3084000000</v>
      </c>
      <c r="H29" s="244">
        <f t="shared" si="2"/>
        <v>0.29466845021975924</v>
      </c>
    </row>
    <row r="30" spans="1:13" ht="20.25" customHeight="1" x14ac:dyDescent="0.25">
      <c r="A30" s="149" t="s">
        <v>241</v>
      </c>
      <c r="B30" s="150" t="s">
        <v>242</v>
      </c>
      <c r="C30" s="151" t="s">
        <v>243</v>
      </c>
      <c r="D30" s="155">
        <f t="shared" ref="D30:G32" si="8">D31</f>
        <v>0</v>
      </c>
      <c r="E30" s="155">
        <f t="shared" si="8"/>
        <v>0</v>
      </c>
      <c r="F30" s="155">
        <f t="shared" si="8"/>
        <v>0</v>
      </c>
      <c r="G30" s="155">
        <f t="shared" si="8"/>
        <v>0</v>
      </c>
      <c r="H30" s="243" t="e">
        <f t="shared" si="2"/>
        <v>#DIV/0!</v>
      </c>
    </row>
    <row r="31" spans="1:13" ht="34.5" customHeight="1" x14ac:dyDescent="0.25">
      <c r="A31" s="84"/>
      <c r="B31" s="147" t="s">
        <v>418</v>
      </c>
      <c r="C31" s="250" t="s">
        <v>441</v>
      </c>
      <c r="D31" s="258">
        <f>D32</f>
        <v>0</v>
      </c>
      <c r="E31" s="173"/>
      <c r="F31" s="173">
        <f>F32</f>
        <v>0</v>
      </c>
      <c r="G31" s="173">
        <f>E31+F31</f>
        <v>0</v>
      </c>
      <c r="H31" s="259" t="e">
        <f t="shared" si="2"/>
        <v>#DIV/0!</v>
      </c>
    </row>
    <row r="32" spans="1:13" ht="20.25" customHeight="1" x14ac:dyDescent="0.25">
      <c r="A32" s="85"/>
      <c r="B32" s="86" t="s">
        <v>420</v>
      </c>
      <c r="C32" s="87" t="s">
        <v>442</v>
      </c>
      <c r="D32" s="260">
        <f t="shared" si="8"/>
        <v>0</v>
      </c>
      <c r="E32" s="173"/>
      <c r="F32" s="88">
        <f t="shared" si="8"/>
        <v>0</v>
      </c>
      <c r="G32" s="173">
        <f t="shared" ref="G32" si="9">E32+F32</f>
        <v>0</v>
      </c>
      <c r="H32" s="261" t="e">
        <f t="shared" si="2"/>
        <v>#DIV/0!</v>
      </c>
    </row>
    <row r="33" spans="1:10" ht="20.25" customHeight="1" x14ac:dyDescent="0.25">
      <c r="A33" s="91" t="s">
        <v>89</v>
      </c>
      <c r="B33" s="86" t="s">
        <v>422</v>
      </c>
      <c r="C33" s="87" t="s">
        <v>423</v>
      </c>
      <c r="D33" s="164">
        <v>0</v>
      </c>
      <c r="E33" s="173">
        <f>'Rkp April'!G34</f>
        <v>0</v>
      </c>
      <c r="F33" s="174">
        <f>'Realisasi Januari'!F439</f>
        <v>0</v>
      </c>
      <c r="G33" s="173">
        <f>F33</f>
        <v>0</v>
      </c>
      <c r="H33" s="248" t="e">
        <f t="shared" si="2"/>
        <v>#DIV/0!</v>
      </c>
    </row>
    <row r="34" spans="1:10" ht="20.25" customHeight="1" thickBot="1" x14ac:dyDescent="0.3">
      <c r="A34" s="91" t="s">
        <v>91</v>
      </c>
      <c r="B34" s="86" t="s">
        <v>618</v>
      </c>
      <c r="C34" s="87" t="s">
        <v>620</v>
      </c>
      <c r="D34" s="164">
        <v>0</v>
      </c>
      <c r="E34" s="173">
        <f>'Rkp April'!G35</f>
        <v>0</v>
      </c>
      <c r="F34" s="174"/>
      <c r="G34" s="173">
        <f>F34</f>
        <v>0</v>
      </c>
      <c r="H34" s="286" t="e">
        <f t="shared" si="2"/>
        <v>#DIV/0!</v>
      </c>
    </row>
    <row r="35" spans="1:10" s="82" customFormat="1" ht="21.75" customHeight="1" thickBot="1" x14ac:dyDescent="0.3">
      <c r="A35" s="143"/>
      <c r="B35" s="144"/>
      <c r="C35" s="145" t="s">
        <v>472</v>
      </c>
      <c r="D35" s="146">
        <f>SUM(D12+D20+D30)</f>
        <v>1277356744453.6699</v>
      </c>
      <c r="E35" s="146">
        <f>SUM(E12+E20+E30)</f>
        <v>447247784480.79999</v>
      </c>
      <c r="F35" s="146">
        <f>SUM(F12+F20+F30)</f>
        <v>193171873314.16</v>
      </c>
      <c r="G35" s="146">
        <f>SUM(G12+G20+G30)</f>
        <v>640419657794.95996</v>
      </c>
      <c r="H35" s="249">
        <f>G35/D35</f>
        <v>0.50136319440570198</v>
      </c>
      <c r="I35" s="274"/>
      <c r="J35" s="274"/>
    </row>
    <row r="36" spans="1:10" ht="20.25" hidden="1" customHeight="1" x14ac:dyDescent="0.25">
      <c r="A36" s="92" t="s">
        <v>95</v>
      </c>
      <c r="B36" s="93" t="s">
        <v>46</v>
      </c>
      <c r="C36" s="94" t="s">
        <v>251</v>
      </c>
      <c r="D36" s="95">
        <v>102132456348.7</v>
      </c>
      <c r="E36" s="173"/>
      <c r="F36" s="88" t="e">
        <f>D36-#REF!</f>
        <v>#REF!</v>
      </c>
      <c r="G36" s="173"/>
      <c r="H36" s="96" t="e">
        <f>SUM(F36/#REF!)</f>
        <v>#REF!</v>
      </c>
    </row>
    <row r="37" spans="1:10" ht="20.25" hidden="1" customHeight="1" x14ac:dyDescent="0.25">
      <c r="A37" s="85"/>
      <c r="B37" s="97" t="s">
        <v>252</v>
      </c>
      <c r="C37" s="98" t="s">
        <v>253</v>
      </c>
      <c r="D37" s="88">
        <v>102132456348.7</v>
      </c>
      <c r="E37" s="88"/>
      <c r="F37" s="88" t="e">
        <f>D37-#REF!</f>
        <v>#REF!</v>
      </c>
      <c r="G37" s="88"/>
      <c r="H37" s="89" t="e">
        <f>SUM(F37/#REF!)</f>
        <v>#REF!</v>
      </c>
    </row>
    <row r="38" spans="1:10" ht="20.25" hidden="1" customHeight="1" x14ac:dyDescent="0.25">
      <c r="A38" s="85"/>
      <c r="B38" s="99" t="s">
        <v>254</v>
      </c>
      <c r="C38" s="100" t="s">
        <v>255</v>
      </c>
      <c r="D38" s="88">
        <v>95076456348.699997</v>
      </c>
      <c r="E38" s="88"/>
      <c r="F38" s="88" t="e">
        <f>D38-#REF!</f>
        <v>#REF!</v>
      </c>
      <c r="G38" s="88"/>
      <c r="H38" s="89" t="e">
        <f>SUM(F38/#REF!)</f>
        <v>#REF!</v>
      </c>
    </row>
    <row r="39" spans="1:10" ht="20.25" hidden="1" customHeight="1" x14ac:dyDescent="0.25">
      <c r="A39" s="85"/>
      <c r="B39" s="99" t="s">
        <v>256</v>
      </c>
      <c r="C39" s="100" t="s">
        <v>257</v>
      </c>
      <c r="D39" s="88">
        <v>7056000000</v>
      </c>
      <c r="E39" s="88"/>
      <c r="F39" s="88" t="e">
        <f>D39-#REF!</f>
        <v>#REF!</v>
      </c>
      <c r="G39" s="88"/>
      <c r="H39" s="89">
        <v>1</v>
      </c>
    </row>
    <row r="40" spans="1:10" ht="20.25" hidden="1" customHeight="1" x14ac:dyDescent="0.25">
      <c r="A40" s="101"/>
      <c r="B40" s="102" t="s">
        <v>258</v>
      </c>
      <c r="C40" s="103" t="s">
        <v>259</v>
      </c>
      <c r="D40" s="104">
        <v>7056000000</v>
      </c>
      <c r="E40" s="174"/>
      <c r="F40" s="88" t="e">
        <f>D40-#REF!</f>
        <v>#REF!</v>
      </c>
      <c r="G40" s="174"/>
      <c r="H40" s="105">
        <v>1</v>
      </c>
    </row>
    <row r="41" spans="1:10" ht="26.25" hidden="1" customHeight="1" x14ac:dyDescent="0.25">
      <c r="A41" s="450" t="s">
        <v>263</v>
      </c>
      <c r="B41" s="451"/>
      <c r="C41" s="451"/>
      <c r="D41" s="106">
        <f>SUM(D36+D35)</f>
        <v>1379489200802.3699</v>
      </c>
      <c r="E41" s="106"/>
      <c r="F41" s="106" t="e">
        <f>SUM(F36+F35)</f>
        <v>#REF!</v>
      </c>
      <c r="G41" s="106"/>
      <c r="H41" s="107" t="e">
        <f>SUM(F41/#REF!)</f>
        <v>#REF!</v>
      </c>
    </row>
    <row r="42" spans="1:10" ht="26.25" customHeight="1" x14ac:dyDescent="0.25">
      <c r="A42" s="108"/>
      <c r="B42" s="198"/>
      <c r="C42" s="197"/>
      <c r="D42" s="110"/>
      <c r="E42" s="110"/>
      <c r="F42" s="110"/>
      <c r="G42" s="110"/>
      <c r="H42" s="111"/>
    </row>
    <row r="43" spans="1:10" ht="21" customHeight="1" x14ac:dyDescent="0.25">
      <c r="A43" s="324"/>
      <c r="B43" s="325"/>
      <c r="C43" s="109"/>
      <c r="D43" s="112"/>
      <c r="E43" s="112"/>
      <c r="F43" s="291"/>
      <c r="G43" s="291" t="s">
        <v>691</v>
      </c>
      <c r="H43" s="113"/>
    </row>
    <row r="44" spans="1:10" ht="18" x14ac:dyDescent="0.25">
      <c r="A44" s="324"/>
      <c r="B44" s="325"/>
      <c r="C44" s="109"/>
      <c r="D44" s="114"/>
      <c r="E44" s="114"/>
      <c r="F44" s="291"/>
      <c r="G44" s="291" t="s">
        <v>630</v>
      </c>
      <c r="H44" s="255"/>
    </row>
    <row r="45" spans="1:10" ht="21" customHeight="1" x14ac:dyDescent="0.25">
      <c r="B45" s="325"/>
      <c r="C45" s="109"/>
      <c r="D45" s="114"/>
      <c r="E45" s="114"/>
      <c r="F45" s="291"/>
      <c r="G45" s="291"/>
      <c r="H45" s="255"/>
    </row>
    <row r="46" spans="1:10" ht="15.75" customHeight="1" x14ac:dyDescent="0.25">
      <c r="B46" s="325"/>
      <c r="C46" s="109"/>
      <c r="D46" s="116"/>
      <c r="E46" s="116"/>
      <c r="F46" s="291"/>
      <c r="G46" s="291"/>
      <c r="H46" s="117"/>
    </row>
    <row r="47" spans="1:10" ht="15.75" customHeight="1" x14ac:dyDescent="0.25">
      <c r="B47" s="325"/>
      <c r="C47" s="109"/>
      <c r="D47" s="116"/>
      <c r="E47" s="116"/>
      <c r="F47" s="291"/>
      <c r="G47" s="291"/>
      <c r="H47" s="117"/>
    </row>
    <row r="48" spans="1:10" ht="15.75" customHeight="1" x14ac:dyDescent="0.25">
      <c r="B48" s="325"/>
      <c r="C48" s="109" t="s">
        <v>267</v>
      </c>
      <c r="D48" s="116"/>
      <c r="E48" s="116"/>
      <c r="F48" s="292"/>
      <c r="G48" s="292" t="s">
        <v>579</v>
      </c>
      <c r="H48" s="117"/>
    </row>
    <row r="49" spans="2:8" ht="15.75" customHeight="1" x14ac:dyDescent="0.25">
      <c r="B49" s="325"/>
      <c r="C49" s="109"/>
      <c r="D49" s="116"/>
      <c r="E49" s="116"/>
      <c r="F49" s="291"/>
      <c r="G49" s="291" t="s">
        <v>577</v>
      </c>
      <c r="H49" s="117"/>
    </row>
    <row r="50" spans="2:8" ht="22.5" customHeight="1" x14ac:dyDescent="0.25">
      <c r="C50" s="118"/>
      <c r="D50" s="119"/>
      <c r="E50" s="119"/>
      <c r="F50" s="291"/>
      <c r="G50" s="291" t="s">
        <v>576</v>
      </c>
      <c r="H50" s="120"/>
    </row>
    <row r="51" spans="2:8" ht="20.25" customHeight="1" x14ac:dyDescent="0.25">
      <c r="C51" s="118"/>
      <c r="D51" s="112"/>
      <c r="E51" s="112"/>
      <c r="F51" s="115"/>
      <c r="G51" s="115"/>
      <c r="H51" s="113"/>
    </row>
    <row r="52" spans="2:8" ht="13.15" customHeight="1" x14ac:dyDescent="0.25">
      <c r="C52" s="118"/>
      <c r="D52" s="112"/>
      <c r="E52" s="112"/>
      <c r="H52" s="113"/>
    </row>
    <row r="53" spans="2:8" ht="13.15" customHeight="1" x14ac:dyDescent="0.25">
      <c r="C53" s="118"/>
      <c r="D53" s="112"/>
      <c r="E53" s="112"/>
      <c r="F53" s="113"/>
      <c r="G53" s="113"/>
      <c r="H53" s="113"/>
    </row>
    <row r="54" spans="2:8" ht="13.15" customHeight="1" x14ac:dyDescent="0.25">
      <c r="C54" s="118"/>
      <c r="D54" s="112"/>
      <c r="E54" s="112"/>
      <c r="F54" s="113"/>
      <c r="G54" s="113"/>
      <c r="H54" s="113"/>
    </row>
    <row r="55" spans="2:8" ht="13.15" customHeight="1" x14ac:dyDescent="0.25">
      <c r="C55" s="118"/>
      <c r="D55" s="118"/>
      <c r="E55" s="118"/>
    </row>
    <row r="56" spans="2:8" ht="13.15" customHeight="1" x14ac:dyDescent="0.25">
      <c r="C56" s="118"/>
      <c r="D56" s="118"/>
      <c r="E56" s="118"/>
    </row>
    <row r="57" spans="2:8" ht="13.15" customHeight="1" x14ac:dyDescent="0.25">
      <c r="C57" s="118"/>
      <c r="D57" s="118"/>
      <c r="E57" s="118"/>
    </row>
    <row r="58" spans="2:8" ht="13.15" customHeight="1" x14ac:dyDescent="0.25">
      <c r="C58" s="118"/>
      <c r="D58" s="118"/>
      <c r="E58" s="118"/>
    </row>
    <row r="59" spans="2:8" ht="13.15" customHeight="1" x14ac:dyDescent="0.25">
      <c r="C59" s="118"/>
      <c r="D59" s="118"/>
      <c r="E59" s="118"/>
    </row>
    <row r="60" spans="2:8" ht="13.15" customHeight="1" x14ac:dyDescent="0.25">
      <c r="C60" s="118"/>
      <c r="D60" s="118"/>
      <c r="E60" s="118"/>
    </row>
    <row r="61" spans="2:8" ht="13.15" customHeight="1" x14ac:dyDescent="0.25">
      <c r="C61" s="118"/>
      <c r="D61" s="118"/>
      <c r="E61" s="118"/>
    </row>
  </sheetData>
  <mergeCells count="12">
    <mergeCell ref="F6:H6"/>
    <mergeCell ref="F7:H7"/>
    <mergeCell ref="A41:C41"/>
    <mergeCell ref="B2:D2"/>
    <mergeCell ref="B3:D3"/>
    <mergeCell ref="B4:D4"/>
    <mergeCell ref="B5:C5"/>
    <mergeCell ref="A8:A9"/>
    <mergeCell ref="B8:B9"/>
    <mergeCell ref="C8:C9"/>
    <mergeCell ref="E8:G8"/>
    <mergeCell ref="H8:H9"/>
  </mergeCells>
  <printOptions horizontalCentered="1"/>
  <pageMargins left="0.6692913385826772" right="1.0236220472440944" top="0.54" bottom="0.27559055118110237" header="0.23622047244094491" footer="0.33"/>
  <pageSetup paperSize="9" scale="6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478"/>
  <sheetViews>
    <sheetView zoomScale="68" zoomScaleNormal="68" workbookViewId="0">
      <pane ySplit="9" topLeftCell="A112" activePane="bottomLeft" state="frozen"/>
      <selection activeCell="I30" sqref="I30"/>
      <selection pane="bottomLeft" activeCell="M127" sqref="M127"/>
    </sheetView>
  </sheetViews>
  <sheetFormatPr defaultColWidth="9.28515625" defaultRowHeight="18" x14ac:dyDescent="0.25"/>
  <cols>
    <col min="1" max="1" width="7" style="4" customWidth="1"/>
    <col min="2" max="2" width="25.140625" style="4" customWidth="1"/>
    <col min="3" max="3" width="82.7109375" style="4" customWidth="1"/>
    <col min="4" max="6" width="28.42578125" style="175" customWidth="1"/>
    <col min="7" max="7" width="30.7109375" style="175" customWidth="1"/>
    <col min="8" max="8" width="16" style="175" customWidth="1"/>
    <col min="9" max="9" width="49" style="4" hidden="1" customWidth="1"/>
    <col min="10" max="10" width="30.5703125" style="175" bestFit="1" customWidth="1"/>
    <col min="11" max="11" width="26.5703125" style="4" bestFit="1" customWidth="1"/>
    <col min="12" max="12" width="9.28515625" style="4"/>
    <col min="13" max="13" width="26.28515625" style="4" customWidth="1"/>
    <col min="14" max="14" width="9.28515625" style="4"/>
    <col min="15" max="15" width="16.28515625" style="4" bestFit="1" customWidth="1"/>
    <col min="16" max="16384" width="9.28515625" style="4"/>
  </cols>
  <sheetData>
    <row r="1" spans="1:15" x14ac:dyDescent="0.25">
      <c r="A1" s="1"/>
      <c r="B1" s="1"/>
      <c r="C1" s="2"/>
      <c r="I1" s="3"/>
    </row>
    <row r="2" spans="1:15" ht="25.5" x14ac:dyDescent="0.25">
      <c r="A2" s="1"/>
      <c r="B2" s="444" t="s">
        <v>0</v>
      </c>
      <c r="C2" s="444"/>
      <c r="E2" s="5" t="s">
        <v>486</v>
      </c>
      <c r="I2" s="1"/>
      <c r="K2" s="5"/>
    </row>
    <row r="3" spans="1:15" x14ac:dyDescent="0.25">
      <c r="A3" s="1"/>
      <c r="B3" s="445" t="s">
        <v>480</v>
      </c>
      <c r="C3" s="445"/>
      <c r="E3" s="5" t="s">
        <v>631</v>
      </c>
      <c r="K3" s="5"/>
    </row>
    <row r="4" spans="1:15" x14ac:dyDescent="0.25">
      <c r="A4" s="1"/>
      <c r="B4" s="446" t="s">
        <v>481</v>
      </c>
      <c r="C4" s="446"/>
      <c r="E4" s="6" t="s">
        <v>685</v>
      </c>
      <c r="K4" s="6"/>
    </row>
    <row r="5" spans="1:15" ht="19.5" x14ac:dyDescent="0.25">
      <c r="A5" s="1"/>
      <c r="B5" s="447"/>
      <c r="C5" s="447"/>
      <c r="I5" s="1"/>
    </row>
    <row r="6" spans="1:15" ht="18.75" thickBot="1" x14ac:dyDescent="0.3">
      <c r="A6" s="1"/>
      <c r="B6" s="334"/>
      <c r="C6" s="334"/>
      <c r="D6" s="8"/>
      <c r="E6" s="8"/>
      <c r="F6" s="448"/>
      <c r="G6" s="448"/>
      <c r="H6" s="448"/>
      <c r="I6" s="7"/>
    </row>
    <row r="7" spans="1:15" s="10" customFormat="1" ht="29.25" customHeight="1" x14ac:dyDescent="0.25">
      <c r="A7" s="435" t="s">
        <v>2</v>
      </c>
      <c r="B7" s="437" t="s">
        <v>3</v>
      </c>
      <c r="C7" s="437" t="s">
        <v>4</v>
      </c>
      <c r="D7" s="202" t="s">
        <v>5</v>
      </c>
      <c r="E7" s="441" t="s">
        <v>475</v>
      </c>
      <c r="F7" s="441"/>
      <c r="G7" s="441"/>
      <c r="H7" s="439" t="s">
        <v>6</v>
      </c>
      <c r="I7" s="442" t="s">
        <v>7</v>
      </c>
      <c r="J7" s="9"/>
    </row>
    <row r="8" spans="1:15" s="10" customFormat="1" ht="29.25" customHeight="1" thickBot="1" x14ac:dyDescent="0.3">
      <c r="A8" s="436"/>
      <c r="B8" s="438"/>
      <c r="C8" s="438"/>
      <c r="D8" s="203" t="s">
        <v>632</v>
      </c>
      <c r="E8" s="204" t="s">
        <v>476</v>
      </c>
      <c r="F8" s="204" t="s">
        <v>477</v>
      </c>
      <c r="G8" s="204" t="s">
        <v>478</v>
      </c>
      <c r="H8" s="440"/>
      <c r="I8" s="443"/>
      <c r="J8" s="9"/>
    </row>
    <row r="9" spans="1:15" s="16" customFormat="1" ht="14.65" customHeight="1" x14ac:dyDescent="0.25">
      <c r="A9" s="11">
        <v>1</v>
      </c>
      <c r="B9" s="12">
        <v>2</v>
      </c>
      <c r="C9" s="13">
        <v>3</v>
      </c>
      <c r="D9" s="14">
        <v>4</v>
      </c>
      <c r="E9" s="14">
        <v>5</v>
      </c>
      <c r="F9" s="14">
        <v>6</v>
      </c>
      <c r="G9" s="15" t="s">
        <v>582</v>
      </c>
      <c r="H9" s="235" t="s">
        <v>583</v>
      </c>
      <c r="I9" s="205">
        <v>9</v>
      </c>
      <c r="J9" s="7"/>
    </row>
    <row r="10" spans="1:15" x14ac:dyDescent="0.25">
      <c r="A10" s="17"/>
      <c r="B10" s="18"/>
      <c r="C10" s="19"/>
      <c r="D10" s="20"/>
      <c r="E10" s="20"/>
      <c r="F10" s="20"/>
      <c r="G10" s="20"/>
      <c r="H10" s="21"/>
      <c r="I10" s="206"/>
    </row>
    <row r="11" spans="1:15" s="176" customFormat="1" ht="25.5" customHeight="1" x14ac:dyDescent="0.25">
      <c r="A11" s="169"/>
      <c r="B11" s="167" t="s">
        <v>8</v>
      </c>
      <c r="C11" s="185" t="s">
        <v>9</v>
      </c>
      <c r="D11" s="191">
        <f>SUM(D12+D228+D439)</f>
        <v>1277356744453.6699</v>
      </c>
      <c r="E11" s="191">
        <f>SUM(E12+E228+E439)</f>
        <v>640419657794.95996</v>
      </c>
      <c r="F11" s="191">
        <f>SUM(F12+F228+F439)</f>
        <v>134113463532.98999</v>
      </c>
      <c r="G11" s="191">
        <f>SUM(G12+G228+G439)</f>
        <v>774533121327.94995</v>
      </c>
      <c r="H11" s="236">
        <f>G11/D11</f>
        <v>0.60635615280617672</v>
      </c>
      <c r="I11" s="207"/>
      <c r="J11" s="175"/>
      <c r="K11" s="270"/>
    </row>
    <row r="12" spans="1:15" s="176" customFormat="1" ht="27.75" customHeight="1" x14ac:dyDescent="0.25">
      <c r="A12" s="126" t="s">
        <v>10</v>
      </c>
      <c r="B12" s="127" t="s">
        <v>11</v>
      </c>
      <c r="C12" s="41" t="s">
        <v>12</v>
      </c>
      <c r="D12" s="42">
        <f>SUM(D13+D14+D98+D104)</f>
        <v>392981073389.67004</v>
      </c>
      <c r="E12" s="42">
        <f>SUM(E13+E14+E98+E104)</f>
        <v>244242932963.95999</v>
      </c>
      <c r="F12" s="42">
        <f>SUM(F13+F14+F98+F104)</f>
        <v>63177195506.989998</v>
      </c>
      <c r="G12" s="42">
        <f>SUM(G13+G14+G98+G104)</f>
        <v>307420128470.95001</v>
      </c>
      <c r="H12" s="237">
        <f>G12/D12</f>
        <v>0.78227718658124801</v>
      </c>
      <c r="I12" s="208"/>
      <c r="J12" s="175"/>
    </row>
    <row r="13" spans="1:15" s="176" customFormat="1" ht="25.5" customHeight="1" x14ac:dyDescent="0.25">
      <c r="A13" s="169" t="s">
        <v>13</v>
      </c>
      <c r="B13" s="167" t="s">
        <v>14</v>
      </c>
      <c r="C13" s="185" t="s">
        <v>15</v>
      </c>
      <c r="D13" s="191">
        <f>SUM(D17+D18+D19+D20+D21+D25+D22+D23+D26+D24+D27)</f>
        <v>197002700000</v>
      </c>
      <c r="E13" s="191">
        <f t="shared" ref="E13:G13" si="0">SUM(E17+E18+E19+E20+E21+E25+E22+E23+E26+E24+E27)</f>
        <v>116486499765.36</v>
      </c>
      <c r="F13" s="191">
        <f>SUM(F17+F18+F19+F20+F21+F25+F22+F23+F26+F24+F27)</f>
        <v>49936389001</v>
      </c>
      <c r="G13" s="191">
        <f t="shared" si="0"/>
        <v>166422888766.35999</v>
      </c>
      <c r="H13" s="236">
        <f>G13/D13</f>
        <v>0.84477465926284256</v>
      </c>
      <c r="I13" s="209"/>
      <c r="J13" s="175"/>
      <c r="K13" s="270"/>
    </row>
    <row r="14" spans="1:15" s="176" customFormat="1" ht="25.5" customHeight="1" x14ac:dyDescent="0.25">
      <c r="A14" s="169" t="s">
        <v>16</v>
      </c>
      <c r="B14" s="167" t="s">
        <v>17</v>
      </c>
      <c r="C14" s="185" t="s">
        <v>18</v>
      </c>
      <c r="D14" s="191">
        <f>SUM(D29+D49+D54+D60+D65+D72+D76+D81+D93+D89+D40)</f>
        <v>47985440000</v>
      </c>
      <c r="E14" s="191">
        <f>SUM(E29+E49+E54+E60+E65+E72+E76+E81+E93+E89+E40)</f>
        <v>12850767339.17</v>
      </c>
      <c r="F14" s="191">
        <f>SUM(F29+F49+F54+F60+F65+F72+F76+F81+F93+F89+F40)</f>
        <v>2556002344</v>
      </c>
      <c r="G14" s="191">
        <f>SUM(G29+G49+G54+G60+G65+G72+G76+G81+G93+G89+G40)</f>
        <v>15406769683.17</v>
      </c>
      <c r="H14" s="236">
        <f>G14/D14</f>
        <v>0.32107176016662553</v>
      </c>
      <c r="I14" s="209"/>
      <c r="J14" s="280"/>
      <c r="K14" s="281"/>
      <c r="L14" s="282"/>
      <c r="M14" s="282"/>
      <c r="N14" s="282"/>
      <c r="O14" s="282"/>
    </row>
    <row r="15" spans="1:15" s="176" customFormat="1" x14ac:dyDescent="0.25">
      <c r="A15" s="169"/>
      <c r="B15" s="22"/>
      <c r="C15" s="185"/>
      <c r="D15" s="191"/>
      <c r="E15" s="191"/>
      <c r="F15" s="191"/>
      <c r="G15" s="191"/>
      <c r="H15" s="236"/>
      <c r="I15" s="209"/>
      <c r="J15" s="280"/>
      <c r="K15" s="282"/>
      <c r="L15" s="282"/>
      <c r="M15" s="282"/>
      <c r="N15" s="282"/>
      <c r="O15" s="282"/>
    </row>
    <row r="16" spans="1:15" s="187" customFormat="1" ht="22.5" customHeight="1" x14ac:dyDescent="0.25">
      <c r="A16" s="23" t="s">
        <v>19</v>
      </c>
      <c r="B16" s="46" t="s">
        <v>281</v>
      </c>
      <c r="C16" s="185" t="s">
        <v>1</v>
      </c>
      <c r="D16" s="196">
        <f>SUM(D17:D27)</f>
        <v>197002700000</v>
      </c>
      <c r="E16" s="196">
        <f>SUM(E17:E27)</f>
        <v>116486499765.36</v>
      </c>
      <c r="F16" s="196">
        <f>SUM(F17:F27)</f>
        <v>49936389001</v>
      </c>
      <c r="G16" s="191">
        <f>SUM(G17:G27)</f>
        <v>166422888766.35999</v>
      </c>
      <c r="H16" s="236">
        <f t="shared" ref="H16:H27" si="1">G16/D16</f>
        <v>0.84477465926284256</v>
      </c>
      <c r="I16" s="210"/>
      <c r="J16" s="297"/>
      <c r="K16" s="298"/>
      <c r="L16" s="279"/>
      <c r="M16" s="279"/>
      <c r="N16" s="279"/>
      <c r="O16" s="279"/>
    </row>
    <row r="17" spans="1:15" s="176" customFormat="1" ht="18.75" customHeight="1" x14ac:dyDescent="0.25">
      <c r="A17" s="188"/>
      <c r="B17" s="177" t="s">
        <v>269</v>
      </c>
      <c r="C17" s="183" t="s">
        <v>20</v>
      </c>
      <c r="D17" s="192">
        <v>6000000000</v>
      </c>
      <c r="E17" s="192">
        <f>'Realisasi Juni'!G17</f>
        <v>2257677419</v>
      </c>
      <c r="F17" s="192">
        <v>451759119</v>
      </c>
      <c r="G17" s="192">
        <f>E17+F17</f>
        <v>2709436538</v>
      </c>
      <c r="H17" s="24">
        <f t="shared" si="1"/>
        <v>0.45157275633333332</v>
      </c>
      <c r="I17" s="211" t="s">
        <v>21</v>
      </c>
      <c r="J17" s="294"/>
      <c r="K17" s="296"/>
      <c r="L17" s="282"/>
      <c r="M17" s="282"/>
      <c r="N17" s="282"/>
      <c r="O17" s="282"/>
    </row>
    <row r="18" spans="1:15" s="176" customFormat="1" ht="18.75" customHeight="1" x14ac:dyDescent="0.25">
      <c r="A18" s="188"/>
      <c r="B18" s="177" t="s">
        <v>270</v>
      </c>
      <c r="C18" s="183" t="s">
        <v>22</v>
      </c>
      <c r="D18" s="192">
        <v>9500000000</v>
      </c>
      <c r="E18" s="192">
        <f>'Realisasi Juni'!G18</f>
        <v>4945023365</v>
      </c>
      <c r="F18" s="192">
        <v>990077027</v>
      </c>
      <c r="G18" s="192">
        <f t="shared" ref="G18:G27" si="2">E18+F18</f>
        <v>5935100392</v>
      </c>
      <c r="H18" s="24">
        <f t="shared" si="1"/>
        <v>0.6247474096842105</v>
      </c>
      <c r="I18" s="212" t="s">
        <v>23</v>
      </c>
      <c r="J18" s="294"/>
      <c r="K18" s="296"/>
      <c r="L18" s="282"/>
      <c r="M18" s="282" t="s">
        <v>629</v>
      </c>
      <c r="N18" s="282"/>
      <c r="O18" s="282"/>
    </row>
    <row r="19" spans="1:15" s="176" customFormat="1" ht="18.75" customHeight="1" x14ac:dyDescent="0.25">
      <c r="A19" s="188"/>
      <c r="B19" s="177" t="s">
        <v>271</v>
      </c>
      <c r="C19" s="183" t="s">
        <v>24</v>
      </c>
      <c r="D19" s="192">
        <v>1500000000</v>
      </c>
      <c r="E19" s="192">
        <f>'Realisasi Juni'!G19</f>
        <v>875633303</v>
      </c>
      <c r="F19" s="192">
        <v>197523917</v>
      </c>
      <c r="G19" s="192">
        <f t="shared" si="2"/>
        <v>1073157220</v>
      </c>
      <c r="H19" s="24">
        <f t="shared" si="1"/>
        <v>0.71543814666666672</v>
      </c>
      <c r="I19" s="211" t="s">
        <v>25</v>
      </c>
      <c r="J19" s="294"/>
      <c r="K19" s="296"/>
      <c r="L19" s="282"/>
      <c r="M19" s="282"/>
      <c r="N19" s="282"/>
      <c r="O19" s="282"/>
    </row>
    <row r="20" spans="1:15" s="176" customFormat="1" ht="18.75" customHeight="1" x14ac:dyDescent="0.25">
      <c r="A20" s="188"/>
      <c r="B20" s="177" t="s">
        <v>272</v>
      </c>
      <c r="C20" s="183" t="s">
        <v>26</v>
      </c>
      <c r="D20" s="192">
        <v>3500000000</v>
      </c>
      <c r="E20" s="192">
        <f>'Realisasi Juni'!G20</f>
        <v>1541843397</v>
      </c>
      <c r="F20" s="192">
        <v>282617859</v>
      </c>
      <c r="G20" s="192">
        <f t="shared" si="2"/>
        <v>1824461256</v>
      </c>
      <c r="H20" s="24">
        <f t="shared" si="1"/>
        <v>0.52127464457142858</v>
      </c>
      <c r="I20" s="211" t="s">
        <v>27</v>
      </c>
      <c r="J20" s="294"/>
      <c r="K20" s="296"/>
      <c r="L20" s="282"/>
      <c r="M20" s="282"/>
      <c r="N20" s="282"/>
      <c r="O20" s="282"/>
    </row>
    <row r="21" spans="1:15" s="176" customFormat="1" ht="18.75" customHeight="1" x14ac:dyDescent="0.25">
      <c r="A21" s="188"/>
      <c r="B21" s="177" t="s">
        <v>676</v>
      </c>
      <c r="C21" s="183" t="s">
        <v>677</v>
      </c>
      <c r="D21" s="192">
        <v>51000000000</v>
      </c>
      <c r="E21" s="192">
        <f>'Realisasi Juni'!G21</f>
        <v>25779756368.360001</v>
      </c>
      <c r="F21" s="192">
        <f>3376651632+1549127505</f>
        <v>4925779137</v>
      </c>
      <c r="G21" s="192">
        <f t="shared" si="2"/>
        <v>30705535505.360001</v>
      </c>
      <c r="H21" s="24">
        <f t="shared" si="1"/>
        <v>0.60206932363450982</v>
      </c>
      <c r="I21" s="211" t="s">
        <v>28</v>
      </c>
      <c r="J21" s="294"/>
      <c r="K21" s="296"/>
      <c r="L21" s="282"/>
      <c r="M21" s="282"/>
      <c r="N21" s="282"/>
      <c r="O21" s="282"/>
    </row>
    <row r="22" spans="1:15" s="176" customFormat="1" ht="18.75" customHeight="1" x14ac:dyDescent="0.25">
      <c r="A22" s="188"/>
      <c r="B22" s="177" t="s">
        <v>273</v>
      </c>
      <c r="C22" s="183" t="s">
        <v>31</v>
      </c>
      <c r="D22" s="192">
        <v>1800000000</v>
      </c>
      <c r="E22" s="192">
        <f>'Realisasi Juni'!G22</f>
        <v>388559103</v>
      </c>
      <c r="F22" s="192">
        <v>66246300</v>
      </c>
      <c r="G22" s="192">
        <f t="shared" si="2"/>
        <v>454805403</v>
      </c>
      <c r="H22" s="24">
        <f t="shared" si="1"/>
        <v>0.25266966833333332</v>
      </c>
      <c r="I22" s="213" t="s">
        <v>32</v>
      </c>
      <c r="J22" s="294"/>
      <c r="K22" s="296"/>
      <c r="L22" s="282"/>
      <c r="M22" s="282"/>
      <c r="N22" s="282"/>
      <c r="O22" s="282"/>
    </row>
    <row r="23" spans="1:15" s="176" customFormat="1" ht="18.75" customHeight="1" x14ac:dyDescent="0.25">
      <c r="A23" s="188"/>
      <c r="B23" s="177" t="s">
        <v>274</v>
      </c>
      <c r="C23" s="183" t="s">
        <v>33</v>
      </c>
      <c r="D23" s="192">
        <v>1430800000</v>
      </c>
      <c r="E23" s="192">
        <f>'Realisasi Juni'!G23</f>
        <v>491906494</v>
      </c>
      <c r="F23" s="192">
        <v>88752622</v>
      </c>
      <c r="G23" s="192">
        <f t="shared" si="2"/>
        <v>580659116</v>
      </c>
      <c r="H23" s="24">
        <f t="shared" si="1"/>
        <v>0.40582828906905227</v>
      </c>
      <c r="I23" s="213" t="s">
        <v>34</v>
      </c>
      <c r="J23" s="294"/>
      <c r="K23" s="296"/>
      <c r="L23" s="282"/>
      <c r="M23" s="282"/>
      <c r="N23" s="282"/>
      <c r="O23" s="282"/>
    </row>
    <row r="24" spans="1:15" s="176" customFormat="1" ht="18.75" customHeight="1" x14ac:dyDescent="0.25">
      <c r="A24" s="188"/>
      <c r="B24" s="177" t="s">
        <v>275</v>
      </c>
      <c r="C24" s="183" t="s">
        <v>35</v>
      </c>
      <c r="D24" s="192">
        <v>115200000</v>
      </c>
      <c r="E24" s="192">
        <f>'Realisasi Juni'!G24</f>
        <v>44875500</v>
      </c>
      <c r="F24" s="192">
        <v>15335960</v>
      </c>
      <c r="G24" s="192">
        <f t="shared" si="2"/>
        <v>60211460</v>
      </c>
      <c r="H24" s="24">
        <f t="shared" si="1"/>
        <v>0.52266892361111106</v>
      </c>
      <c r="I24" s="213" t="s">
        <v>36</v>
      </c>
      <c r="J24" s="294"/>
      <c r="K24" s="296"/>
      <c r="L24" s="282"/>
      <c r="M24" s="282"/>
      <c r="N24" s="282"/>
      <c r="O24" s="282"/>
    </row>
    <row r="25" spans="1:15" s="176" customFormat="1" ht="18.75" customHeight="1" x14ac:dyDescent="0.25">
      <c r="A25" s="188"/>
      <c r="B25" s="177" t="s">
        <v>276</v>
      </c>
      <c r="C25" s="183" t="s">
        <v>29</v>
      </c>
      <c r="D25" s="192">
        <v>1606700000</v>
      </c>
      <c r="E25" s="192">
        <f>'Realisasi Juni'!G25</f>
        <v>0</v>
      </c>
      <c r="F25" s="192">
        <v>0</v>
      </c>
      <c r="G25" s="192">
        <f>E25+F25</f>
        <v>0</v>
      </c>
      <c r="H25" s="24">
        <f t="shared" si="1"/>
        <v>0</v>
      </c>
      <c r="I25" s="214" t="s">
        <v>30</v>
      </c>
      <c r="J25" s="294"/>
      <c r="K25" s="296"/>
      <c r="L25" s="295"/>
      <c r="M25" s="295"/>
      <c r="N25" s="282"/>
      <c r="O25" s="282"/>
    </row>
    <row r="26" spans="1:15" s="176" customFormat="1" ht="18.75" customHeight="1" x14ac:dyDescent="0.25">
      <c r="A26" s="188"/>
      <c r="B26" s="177" t="s">
        <v>277</v>
      </c>
      <c r="C26" s="171" t="s">
        <v>278</v>
      </c>
      <c r="D26" s="178">
        <v>101000000000</v>
      </c>
      <c r="E26" s="192">
        <f>'Realisasi Juni'!G26</f>
        <v>75143868039</v>
      </c>
      <c r="F26" s="178">
        <v>42391285527</v>
      </c>
      <c r="G26" s="192">
        <f t="shared" si="2"/>
        <v>117535153566</v>
      </c>
      <c r="H26" s="24">
        <f t="shared" si="1"/>
        <v>1.1637143917425743</v>
      </c>
      <c r="I26" s="213" t="s">
        <v>37</v>
      </c>
      <c r="J26" s="294"/>
      <c r="K26" s="296"/>
      <c r="L26" s="295"/>
      <c r="M26" s="295"/>
    </row>
    <row r="27" spans="1:15" s="176" customFormat="1" x14ac:dyDescent="0.25">
      <c r="A27" s="188"/>
      <c r="B27" s="177" t="s">
        <v>279</v>
      </c>
      <c r="C27" s="183" t="s">
        <v>38</v>
      </c>
      <c r="D27" s="178">
        <v>19550000000</v>
      </c>
      <c r="E27" s="192">
        <f>'Realisasi Juni'!G27</f>
        <v>5017356777</v>
      </c>
      <c r="F27" s="178">
        <v>527011533</v>
      </c>
      <c r="G27" s="192">
        <f t="shared" si="2"/>
        <v>5544368310</v>
      </c>
      <c r="H27" s="24">
        <f t="shared" si="1"/>
        <v>0.28359940204603579</v>
      </c>
      <c r="I27" s="215" t="s">
        <v>474</v>
      </c>
      <c r="J27" s="294"/>
      <c r="K27" s="296"/>
      <c r="L27" s="295"/>
      <c r="M27" s="295"/>
    </row>
    <row r="28" spans="1:15" s="176" customFormat="1" x14ac:dyDescent="0.25">
      <c r="A28" s="169"/>
      <c r="B28" s="22"/>
      <c r="C28" s="25"/>
      <c r="D28" s="191"/>
      <c r="E28" s="192"/>
      <c r="F28" s="191"/>
      <c r="G28" s="191"/>
      <c r="H28" s="236"/>
      <c r="I28" s="216"/>
      <c r="J28" s="294"/>
      <c r="K28" s="295"/>
    </row>
    <row r="29" spans="1:15" s="187" customFormat="1" x14ac:dyDescent="0.25">
      <c r="A29" s="26" t="s">
        <v>39</v>
      </c>
      <c r="B29" s="22" t="s">
        <v>282</v>
      </c>
      <c r="C29" s="185" t="s">
        <v>40</v>
      </c>
      <c r="D29" s="196">
        <f>D30</f>
        <v>1000000000</v>
      </c>
      <c r="E29" s="196">
        <f t="shared" ref="E29:G29" si="3">E30</f>
        <v>329024000</v>
      </c>
      <c r="F29" s="196">
        <f t="shared" si="3"/>
        <v>62895000</v>
      </c>
      <c r="G29" s="196">
        <f t="shared" si="3"/>
        <v>391919000</v>
      </c>
      <c r="H29" s="236">
        <f t="shared" ref="H29:H35" si="4">G29/D29</f>
        <v>0.39191900000000002</v>
      </c>
      <c r="I29" s="216"/>
      <c r="J29" s="297"/>
      <c r="K29" s="298"/>
    </row>
    <row r="30" spans="1:15" s="187" customFormat="1" x14ac:dyDescent="0.25">
      <c r="A30" s="26" t="s">
        <v>413</v>
      </c>
      <c r="B30" s="170" t="s">
        <v>288</v>
      </c>
      <c r="C30" s="185" t="s">
        <v>55</v>
      </c>
      <c r="D30" s="196">
        <f>D31+D37</f>
        <v>1000000000</v>
      </c>
      <c r="E30" s="196">
        <f t="shared" ref="E30:G30" si="5">E31+E37</f>
        <v>329024000</v>
      </c>
      <c r="F30" s="196">
        <f>F31+F37</f>
        <v>62895000</v>
      </c>
      <c r="G30" s="196">
        <f t="shared" si="5"/>
        <v>391919000</v>
      </c>
      <c r="H30" s="236">
        <f t="shared" si="4"/>
        <v>0.39191900000000002</v>
      </c>
      <c r="I30" s="216"/>
      <c r="J30" s="297"/>
      <c r="K30" s="298"/>
    </row>
    <row r="31" spans="1:15" s="176" customFormat="1" x14ac:dyDescent="0.25">
      <c r="A31" s="188"/>
      <c r="B31" s="179" t="s">
        <v>488</v>
      </c>
      <c r="C31" s="185" t="s">
        <v>280</v>
      </c>
      <c r="D31" s="191">
        <f>SUM(D32:D35)</f>
        <v>750000000</v>
      </c>
      <c r="E31" s="191">
        <f t="shared" ref="E31:F31" si="6">SUM(E32:E35)</f>
        <v>180944000</v>
      </c>
      <c r="F31" s="191">
        <f t="shared" si="6"/>
        <v>39452000</v>
      </c>
      <c r="G31" s="191">
        <f>SUM(G32:G35)</f>
        <v>220396000</v>
      </c>
      <c r="H31" s="236">
        <f t="shared" si="4"/>
        <v>0.29386133333333331</v>
      </c>
      <c r="I31" s="207" t="s">
        <v>41</v>
      </c>
      <c r="J31" s="294"/>
      <c r="K31" s="295"/>
    </row>
    <row r="32" spans="1:15" s="176" customFormat="1" x14ac:dyDescent="0.25">
      <c r="A32" s="188"/>
      <c r="B32" s="177" t="s">
        <v>489</v>
      </c>
      <c r="C32" s="183" t="s">
        <v>42</v>
      </c>
      <c r="D32" s="192">
        <v>220000000</v>
      </c>
      <c r="E32" s="192">
        <f>'Realisasi Juni'!G32</f>
        <v>37259000</v>
      </c>
      <c r="F32" s="192">
        <v>7127000</v>
      </c>
      <c r="G32" s="192">
        <f>E32+F32</f>
        <v>44386000</v>
      </c>
      <c r="H32" s="24">
        <f t="shared" si="4"/>
        <v>0.20175454545454546</v>
      </c>
      <c r="I32" s="207"/>
      <c r="J32" s="294"/>
      <c r="K32" s="295"/>
    </row>
    <row r="33" spans="1:10" s="176" customFormat="1" x14ac:dyDescent="0.25">
      <c r="A33" s="188"/>
      <c r="B33" s="177" t="s">
        <v>490</v>
      </c>
      <c r="C33" s="183" t="s">
        <v>43</v>
      </c>
      <c r="D33" s="192">
        <v>494000000</v>
      </c>
      <c r="E33" s="192">
        <f>'Realisasi Juni'!G33</f>
        <v>125265000</v>
      </c>
      <c r="F33" s="192">
        <v>20895000</v>
      </c>
      <c r="G33" s="192">
        <f t="shared" ref="G33:G35" si="7">E33+F33</f>
        <v>146160000</v>
      </c>
      <c r="H33" s="24">
        <f t="shared" si="4"/>
        <v>0.29587044534412954</v>
      </c>
      <c r="I33" s="207"/>
      <c r="J33" s="175"/>
    </row>
    <row r="34" spans="1:10" s="176" customFormat="1" x14ac:dyDescent="0.25">
      <c r="A34" s="188"/>
      <c r="B34" s="177" t="s">
        <v>491</v>
      </c>
      <c r="C34" s="183" t="s">
        <v>44</v>
      </c>
      <c r="D34" s="192">
        <v>36000000</v>
      </c>
      <c r="E34" s="192">
        <f>'Realisasi Juni'!G34</f>
        <v>18420000</v>
      </c>
      <c r="F34" s="192">
        <v>11430000</v>
      </c>
      <c r="G34" s="192">
        <f t="shared" si="7"/>
        <v>29850000</v>
      </c>
      <c r="H34" s="24">
        <f t="shared" si="4"/>
        <v>0.82916666666666672</v>
      </c>
      <c r="I34" s="207"/>
      <c r="J34" s="175"/>
    </row>
    <row r="35" spans="1:10" s="176" customFormat="1" hidden="1" x14ac:dyDescent="0.25">
      <c r="A35" s="188"/>
      <c r="B35" s="177"/>
      <c r="C35" s="183" t="s">
        <v>45</v>
      </c>
      <c r="D35" s="192"/>
      <c r="E35" s="192">
        <f>'Realisasi Februari'!G35</f>
        <v>0</v>
      </c>
      <c r="F35" s="192"/>
      <c r="G35" s="192">
        <f t="shared" si="7"/>
        <v>0</v>
      </c>
      <c r="H35" s="24" t="e">
        <f t="shared" si="4"/>
        <v>#DIV/0!</v>
      </c>
      <c r="I35" s="207"/>
      <c r="J35" s="175"/>
    </row>
    <row r="36" spans="1:10" s="176" customFormat="1" ht="15" customHeight="1" x14ac:dyDescent="0.25">
      <c r="A36" s="188"/>
      <c r="B36" s="177"/>
      <c r="C36" s="166"/>
      <c r="D36" s="192"/>
      <c r="E36" s="192"/>
      <c r="F36" s="192"/>
      <c r="G36" s="192"/>
      <c r="H36" s="24"/>
      <c r="I36" s="207"/>
      <c r="J36" s="175"/>
    </row>
    <row r="37" spans="1:10" s="187" customFormat="1" x14ac:dyDescent="0.25">
      <c r="A37" s="26" t="s">
        <v>414</v>
      </c>
      <c r="B37" s="170" t="s">
        <v>492</v>
      </c>
      <c r="C37" s="185" t="s">
        <v>494</v>
      </c>
      <c r="D37" s="196">
        <f>D38</f>
        <v>250000000</v>
      </c>
      <c r="E37" s="196">
        <f t="shared" ref="E37:G37" si="8">E38</f>
        <v>148080000</v>
      </c>
      <c r="F37" s="196">
        <f t="shared" si="8"/>
        <v>23443000</v>
      </c>
      <c r="G37" s="196">
        <f t="shared" si="8"/>
        <v>171523000</v>
      </c>
      <c r="H37" s="236">
        <f>G37/D37</f>
        <v>0.68609200000000004</v>
      </c>
      <c r="I37" s="216"/>
      <c r="J37" s="186"/>
    </row>
    <row r="38" spans="1:10" s="176" customFormat="1" x14ac:dyDescent="0.25">
      <c r="A38" s="188"/>
      <c r="B38" s="177" t="s">
        <v>493</v>
      </c>
      <c r="C38" s="183" t="s">
        <v>495</v>
      </c>
      <c r="D38" s="192">
        <v>250000000</v>
      </c>
      <c r="E38" s="192">
        <f>'Realisasi Juni'!G38</f>
        <v>148080000</v>
      </c>
      <c r="F38" s="192">
        <v>23443000</v>
      </c>
      <c r="G38" s="181">
        <f>E38+F38</f>
        <v>171523000</v>
      </c>
      <c r="H38" s="24">
        <f>G38/D38</f>
        <v>0.68609200000000004</v>
      </c>
      <c r="I38" s="207" t="s">
        <v>41</v>
      </c>
      <c r="J38" s="175"/>
    </row>
    <row r="39" spans="1:10" s="176" customFormat="1" ht="15" customHeight="1" x14ac:dyDescent="0.25">
      <c r="A39" s="188"/>
      <c r="B39" s="177"/>
      <c r="C39" s="166"/>
      <c r="D39" s="192"/>
      <c r="E39" s="192"/>
      <c r="F39" s="192"/>
      <c r="G39" s="192"/>
      <c r="H39" s="24"/>
      <c r="I39" s="207"/>
      <c r="J39" s="175"/>
    </row>
    <row r="40" spans="1:10" s="176" customFormat="1" x14ac:dyDescent="0.25">
      <c r="A40" s="168" t="s">
        <v>46</v>
      </c>
      <c r="B40" s="22" t="s">
        <v>592</v>
      </c>
      <c r="C40" s="185" t="s">
        <v>594</v>
      </c>
      <c r="D40" s="196">
        <f>D41+D47</f>
        <v>15125050000</v>
      </c>
      <c r="E40" s="196">
        <f>E41+E47</f>
        <v>1401624839.1700001</v>
      </c>
      <c r="F40" s="196">
        <f>F41+F47</f>
        <v>235249844</v>
      </c>
      <c r="G40" s="196">
        <f t="shared" ref="G40" si="9">G41+G47</f>
        <v>1636874683.1700001</v>
      </c>
      <c r="H40" s="236">
        <f t="shared" ref="H40:H47" si="10">G40/D40</f>
        <v>0.10822276178723376</v>
      </c>
      <c r="I40" s="207"/>
      <c r="J40" s="175"/>
    </row>
    <row r="41" spans="1:10" s="176" customFormat="1" x14ac:dyDescent="0.25">
      <c r="A41" s="188"/>
      <c r="B41" s="170" t="s">
        <v>285</v>
      </c>
      <c r="C41" s="185" t="s">
        <v>444</v>
      </c>
      <c r="D41" s="191">
        <f>D42</f>
        <v>135000000</v>
      </c>
      <c r="E41" s="191">
        <f t="shared" ref="E41:G41" si="11">E42</f>
        <v>56400000</v>
      </c>
      <c r="F41" s="191">
        <f>F42</f>
        <v>22400000</v>
      </c>
      <c r="G41" s="191">
        <f t="shared" si="11"/>
        <v>78800000</v>
      </c>
      <c r="H41" s="236">
        <f t="shared" si="10"/>
        <v>0.58370370370370372</v>
      </c>
      <c r="I41" s="207"/>
      <c r="J41" s="175"/>
    </row>
    <row r="42" spans="1:10" s="187" customFormat="1" x14ac:dyDescent="0.25">
      <c r="A42" s="169"/>
      <c r="B42" s="170" t="s">
        <v>284</v>
      </c>
      <c r="C42" s="185" t="s">
        <v>595</v>
      </c>
      <c r="D42" s="191">
        <f>SUM(D43)</f>
        <v>135000000</v>
      </c>
      <c r="E42" s="191">
        <f t="shared" ref="E42:G42" si="12">SUM(E43)</f>
        <v>56400000</v>
      </c>
      <c r="F42" s="191">
        <f t="shared" si="12"/>
        <v>22400000</v>
      </c>
      <c r="G42" s="191">
        <f t="shared" si="12"/>
        <v>78800000</v>
      </c>
      <c r="H42" s="236">
        <f t="shared" si="10"/>
        <v>0.58370370370370372</v>
      </c>
      <c r="I42" s="216"/>
      <c r="J42" s="186"/>
    </row>
    <row r="43" spans="1:10" s="176" customFormat="1" x14ac:dyDescent="0.25">
      <c r="A43" s="188"/>
      <c r="B43" s="170" t="s">
        <v>593</v>
      </c>
      <c r="C43" s="185" t="s">
        <v>595</v>
      </c>
      <c r="D43" s="191">
        <f>SUM(D44:D45)</f>
        <v>135000000</v>
      </c>
      <c r="E43" s="191">
        <f t="shared" ref="E43:G43" si="13">SUM(E44:E45)</f>
        <v>56400000</v>
      </c>
      <c r="F43" s="191">
        <f t="shared" si="13"/>
        <v>22400000</v>
      </c>
      <c r="G43" s="191">
        <f t="shared" si="13"/>
        <v>78800000</v>
      </c>
      <c r="H43" s="236">
        <f t="shared" si="10"/>
        <v>0.58370370370370372</v>
      </c>
      <c r="I43" s="207" t="s">
        <v>47</v>
      </c>
      <c r="J43" s="175"/>
    </row>
    <row r="44" spans="1:10" s="176" customFormat="1" x14ac:dyDescent="0.25">
      <c r="A44" s="188"/>
      <c r="B44" s="178"/>
      <c r="C44" s="193" t="s">
        <v>316</v>
      </c>
      <c r="D44" s="192">
        <v>5000000</v>
      </c>
      <c r="E44" s="192">
        <f>'Realisasi Juni'!G44</f>
        <v>600000</v>
      </c>
      <c r="F44" s="192">
        <v>0</v>
      </c>
      <c r="G44" s="192">
        <f>E44+F44</f>
        <v>600000</v>
      </c>
      <c r="H44" s="24">
        <f t="shared" si="10"/>
        <v>0.12</v>
      </c>
      <c r="I44" s="207"/>
      <c r="J44" s="175"/>
    </row>
    <row r="45" spans="1:10" s="176" customFormat="1" x14ac:dyDescent="0.25">
      <c r="A45" s="188"/>
      <c r="B45" s="178"/>
      <c r="C45" s="193" t="s">
        <v>317</v>
      </c>
      <c r="D45" s="192">
        <v>130000000</v>
      </c>
      <c r="E45" s="192">
        <f>'Realisasi Juni'!G45</f>
        <v>55800000</v>
      </c>
      <c r="F45" s="192">
        <v>22400000</v>
      </c>
      <c r="G45" s="192">
        <f>E45+F45</f>
        <v>78200000</v>
      </c>
      <c r="H45" s="24">
        <f t="shared" si="10"/>
        <v>0.60153846153846158</v>
      </c>
      <c r="I45" s="207"/>
      <c r="J45" s="175"/>
    </row>
    <row r="46" spans="1:10" s="176" customFormat="1" x14ac:dyDescent="0.25">
      <c r="A46" s="188"/>
      <c r="B46" s="178"/>
      <c r="C46" s="185" t="s">
        <v>60</v>
      </c>
      <c r="D46" s="192"/>
      <c r="E46" s="192"/>
      <c r="F46" s="192"/>
      <c r="G46" s="192"/>
      <c r="H46" s="24"/>
      <c r="I46" s="207"/>
      <c r="J46" s="175"/>
    </row>
    <row r="47" spans="1:10" s="176" customFormat="1" x14ac:dyDescent="0.25">
      <c r="A47" s="188"/>
      <c r="B47" s="178"/>
      <c r="C47" s="341" t="s">
        <v>692</v>
      </c>
      <c r="D47" s="191">
        <v>14990050000</v>
      </c>
      <c r="E47" s="191">
        <f>'Realisasi Juni'!G47</f>
        <v>1345224839.1700001</v>
      </c>
      <c r="F47" s="191">
        <v>212849844</v>
      </c>
      <c r="G47" s="191">
        <f>E47+F47</f>
        <v>1558074683.1700001</v>
      </c>
      <c r="H47" s="236">
        <f t="shared" si="10"/>
        <v>0.10394059280456036</v>
      </c>
      <c r="I47" s="207"/>
      <c r="J47" s="175"/>
    </row>
    <row r="48" spans="1:10" s="176" customFormat="1" ht="15" customHeight="1" x14ac:dyDescent="0.25">
      <c r="A48" s="188"/>
      <c r="B48" s="177"/>
      <c r="C48" s="166"/>
      <c r="D48" s="192"/>
      <c r="E48" s="192"/>
      <c r="F48" s="192"/>
      <c r="G48" s="192"/>
      <c r="H48" s="24"/>
      <c r="I48" s="207"/>
      <c r="J48" s="175"/>
    </row>
    <row r="49" spans="1:11" s="176" customFormat="1" x14ac:dyDescent="0.25">
      <c r="A49" s="168" t="s">
        <v>8</v>
      </c>
      <c r="B49" s="22" t="s">
        <v>283</v>
      </c>
      <c r="C49" s="185" t="s">
        <v>48</v>
      </c>
      <c r="D49" s="196">
        <f>SUM(D50)</f>
        <v>50000000</v>
      </c>
      <c r="E49" s="196">
        <f t="shared" ref="E49:G49" si="14">SUM(E50)</f>
        <v>11700000</v>
      </c>
      <c r="F49" s="196">
        <f t="shared" si="14"/>
        <v>9000000</v>
      </c>
      <c r="G49" s="196">
        <f t="shared" si="14"/>
        <v>20700000</v>
      </c>
      <c r="H49" s="236">
        <f>G49/D49</f>
        <v>0.41399999999999998</v>
      </c>
      <c r="I49" s="207"/>
      <c r="J49" s="175"/>
    </row>
    <row r="50" spans="1:11" s="176" customFormat="1" x14ac:dyDescent="0.25">
      <c r="A50" s="188"/>
      <c r="B50" s="170" t="s">
        <v>285</v>
      </c>
      <c r="C50" s="185" t="s">
        <v>444</v>
      </c>
      <c r="D50" s="191">
        <f>D51</f>
        <v>50000000</v>
      </c>
      <c r="E50" s="191">
        <f t="shared" ref="E50:G50" si="15">E51</f>
        <v>11700000</v>
      </c>
      <c r="F50" s="191">
        <f t="shared" si="15"/>
        <v>9000000</v>
      </c>
      <c r="G50" s="191">
        <f t="shared" si="15"/>
        <v>20700000</v>
      </c>
      <c r="H50" s="236">
        <f>G50/D50</f>
        <v>0.41399999999999998</v>
      </c>
      <c r="I50" s="207"/>
      <c r="J50" s="175"/>
    </row>
    <row r="51" spans="1:11" s="187" customFormat="1" x14ac:dyDescent="0.25">
      <c r="A51" s="169"/>
      <c r="B51" s="170" t="s">
        <v>284</v>
      </c>
      <c r="C51" s="185" t="s">
        <v>286</v>
      </c>
      <c r="D51" s="191">
        <f>SUM(D52)</f>
        <v>50000000</v>
      </c>
      <c r="E51" s="191">
        <f t="shared" ref="E51:G51" si="16">SUM(E52)</f>
        <v>11700000</v>
      </c>
      <c r="F51" s="191">
        <f t="shared" si="16"/>
        <v>9000000</v>
      </c>
      <c r="G51" s="191">
        <f t="shared" si="16"/>
        <v>20700000</v>
      </c>
      <c r="H51" s="236">
        <f>G51/D51</f>
        <v>0.41399999999999998</v>
      </c>
      <c r="I51" s="216"/>
      <c r="J51" s="186"/>
    </row>
    <row r="52" spans="1:11" s="176" customFormat="1" x14ac:dyDescent="0.25">
      <c r="A52" s="188"/>
      <c r="B52" s="178" t="s">
        <v>496</v>
      </c>
      <c r="C52" s="183" t="s">
        <v>497</v>
      </c>
      <c r="D52" s="192">
        <v>50000000</v>
      </c>
      <c r="E52" s="192">
        <f>'Realisasi Juni'!G52</f>
        <v>11700000</v>
      </c>
      <c r="F52" s="192">
        <f>'[1]2022'!$G$52</f>
        <v>9000000</v>
      </c>
      <c r="G52" s="192">
        <f>E52+F52</f>
        <v>20700000</v>
      </c>
      <c r="H52" s="24">
        <f>G52/D52</f>
        <v>0.41399999999999998</v>
      </c>
      <c r="I52" s="207" t="s">
        <v>47</v>
      </c>
      <c r="J52" s="175"/>
    </row>
    <row r="53" spans="1:11" s="176" customFormat="1" x14ac:dyDescent="0.25">
      <c r="A53" s="169"/>
      <c r="B53" s="22"/>
      <c r="C53" s="25"/>
      <c r="D53" s="192"/>
      <c r="E53" s="192"/>
      <c r="F53" s="192"/>
      <c r="G53" s="191"/>
      <c r="H53" s="236"/>
      <c r="I53" s="207"/>
      <c r="J53" s="175"/>
    </row>
    <row r="54" spans="1:11" s="176" customFormat="1" x14ac:dyDescent="0.25">
      <c r="A54" s="168" t="s">
        <v>49</v>
      </c>
      <c r="B54" s="22" t="s">
        <v>287</v>
      </c>
      <c r="C54" s="185" t="s">
        <v>50</v>
      </c>
      <c r="D54" s="196">
        <f>D55</f>
        <v>750000000</v>
      </c>
      <c r="E54" s="196">
        <f t="shared" ref="E54:G56" si="17">E55</f>
        <v>368680000</v>
      </c>
      <c r="F54" s="196">
        <f t="shared" si="17"/>
        <v>52500000</v>
      </c>
      <c r="G54" s="196">
        <f t="shared" si="17"/>
        <v>421180000</v>
      </c>
      <c r="H54" s="236">
        <f>G54/D54</f>
        <v>0.56157333333333337</v>
      </c>
      <c r="I54" s="207"/>
      <c r="J54" s="175"/>
    </row>
    <row r="55" spans="1:11" s="187" customFormat="1" x14ac:dyDescent="0.25">
      <c r="A55" s="169"/>
      <c r="B55" s="170" t="s">
        <v>288</v>
      </c>
      <c r="C55" s="185" t="s">
        <v>55</v>
      </c>
      <c r="D55" s="191">
        <f>D56</f>
        <v>750000000</v>
      </c>
      <c r="E55" s="191">
        <f t="shared" si="17"/>
        <v>368680000</v>
      </c>
      <c r="F55" s="191">
        <f t="shared" si="17"/>
        <v>52500000</v>
      </c>
      <c r="G55" s="191">
        <f t="shared" si="17"/>
        <v>421180000</v>
      </c>
      <c r="H55" s="236">
        <f>G55/D55</f>
        <v>0.56157333333333337</v>
      </c>
      <c r="I55" s="216" t="s">
        <v>52</v>
      </c>
      <c r="J55" s="186"/>
    </row>
    <row r="56" spans="1:11" s="176" customFormat="1" x14ac:dyDescent="0.25">
      <c r="A56" s="188"/>
      <c r="B56" s="170" t="s">
        <v>499</v>
      </c>
      <c r="C56" s="185" t="s">
        <v>51</v>
      </c>
      <c r="D56" s="191">
        <f>D57</f>
        <v>750000000</v>
      </c>
      <c r="E56" s="191">
        <f t="shared" si="17"/>
        <v>368680000</v>
      </c>
      <c r="F56" s="191">
        <f t="shared" si="17"/>
        <v>52500000</v>
      </c>
      <c r="G56" s="191">
        <f t="shared" si="17"/>
        <v>421180000</v>
      </c>
      <c r="H56" s="236">
        <f>G56/D56</f>
        <v>0.56157333333333337</v>
      </c>
      <c r="I56" s="207"/>
      <c r="J56" s="175"/>
    </row>
    <row r="57" spans="1:11" s="176" customFormat="1" x14ac:dyDescent="0.25">
      <c r="A57" s="188"/>
      <c r="B57" s="178" t="s">
        <v>498</v>
      </c>
      <c r="C57" s="183" t="s">
        <v>51</v>
      </c>
      <c r="D57" s="192">
        <v>750000000</v>
      </c>
      <c r="E57" s="192">
        <f>'Realisasi Juni'!G57</f>
        <v>368680000</v>
      </c>
      <c r="F57" s="192">
        <f>[8]REKAP!$G$29</f>
        <v>52500000</v>
      </c>
      <c r="G57" s="192">
        <f>E57+F57</f>
        <v>421180000</v>
      </c>
      <c r="H57" s="24">
        <f>G57/D57</f>
        <v>0.56157333333333337</v>
      </c>
      <c r="I57" s="207"/>
      <c r="J57" s="175"/>
      <c r="K57" s="270"/>
    </row>
    <row r="58" spans="1:11" s="176" customFormat="1" x14ac:dyDescent="0.25">
      <c r="A58" s="169"/>
      <c r="B58" s="22"/>
      <c r="C58" s="25"/>
      <c r="D58" s="191"/>
      <c r="E58" s="191"/>
      <c r="F58" s="191"/>
      <c r="G58" s="191"/>
      <c r="H58" s="236"/>
      <c r="I58" s="217"/>
      <c r="J58" s="175"/>
    </row>
    <row r="59" spans="1:11" s="176" customFormat="1" x14ac:dyDescent="0.25">
      <c r="A59" s="168" t="s">
        <v>53</v>
      </c>
      <c r="B59" s="22" t="s">
        <v>289</v>
      </c>
      <c r="C59" s="185" t="s">
        <v>54</v>
      </c>
      <c r="D59" s="196">
        <f>D60+D65+D72</f>
        <v>30000000000</v>
      </c>
      <c r="E59" s="196">
        <f t="shared" ref="E59:G59" si="18">E60+E65+E72</f>
        <v>10715751500</v>
      </c>
      <c r="F59" s="196">
        <f t="shared" si="18"/>
        <v>2193157500</v>
      </c>
      <c r="G59" s="196">
        <f t="shared" si="18"/>
        <v>12908909000</v>
      </c>
      <c r="H59" s="236">
        <f t="shared" ref="H59:H74" si="19">G59/D59</f>
        <v>0.43029696666666667</v>
      </c>
      <c r="I59" s="209"/>
      <c r="J59" s="175"/>
    </row>
    <row r="60" spans="1:11" s="187" customFormat="1" x14ac:dyDescent="0.25">
      <c r="A60" s="169" t="s">
        <v>413</v>
      </c>
      <c r="B60" s="170" t="s">
        <v>288</v>
      </c>
      <c r="C60" s="185" t="s">
        <v>55</v>
      </c>
      <c r="D60" s="191">
        <f>D61+D63</f>
        <v>1829475000</v>
      </c>
      <c r="E60" s="191">
        <f t="shared" ref="E60:G60" si="20">E61+E63</f>
        <v>270905250</v>
      </c>
      <c r="F60" s="191">
        <f t="shared" si="20"/>
        <v>39775500</v>
      </c>
      <c r="G60" s="191">
        <f t="shared" si="20"/>
        <v>310680750</v>
      </c>
      <c r="H60" s="236">
        <f t="shared" si="19"/>
        <v>0.16981962038289672</v>
      </c>
      <c r="I60" s="207"/>
      <c r="J60" s="186"/>
    </row>
    <row r="61" spans="1:11" s="187" customFormat="1" x14ac:dyDescent="0.25">
      <c r="A61" s="169"/>
      <c r="B61" s="170" t="s">
        <v>290</v>
      </c>
      <c r="C61" s="185" t="s">
        <v>56</v>
      </c>
      <c r="D61" s="191">
        <f>D62</f>
        <v>1000000000</v>
      </c>
      <c r="E61" s="191">
        <f t="shared" ref="E61:G61" si="21">E62</f>
        <v>207300000</v>
      </c>
      <c r="F61" s="191">
        <f t="shared" si="21"/>
        <v>29060000</v>
      </c>
      <c r="G61" s="191">
        <f t="shared" si="21"/>
        <v>236360000</v>
      </c>
      <c r="H61" s="236">
        <f t="shared" si="19"/>
        <v>0.23635999999999999</v>
      </c>
      <c r="I61" s="207"/>
      <c r="J61" s="186"/>
    </row>
    <row r="62" spans="1:11" s="176" customFormat="1" x14ac:dyDescent="0.25">
      <c r="A62" s="188"/>
      <c r="B62" s="178" t="s">
        <v>500</v>
      </c>
      <c r="C62" s="183" t="s">
        <v>56</v>
      </c>
      <c r="D62" s="192">
        <v>1000000000</v>
      </c>
      <c r="E62" s="192">
        <f>'Realisasi Juni'!G62</f>
        <v>207300000</v>
      </c>
      <c r="F62" s="192">
        <v>29060000</v>
      </c>
      <c r="G62" s="192">
        <f>E62+F62</f>
        <v>236360000</v>
      </c>
      <c r="H62" s="24">
        <f t="shared" si="19"/>
        <v>0.23635999999999999</v>
      </c>
      <c r="I62" s="207" t="s">
        <v>57</v>
      </c>
      <c r="J62" s="175"/>
    </row>
    <row r="63" spans="1:11" s="176" customFormat="1" x14ac:dyDescent="0.25">
      <c r="A63" s="188"/>
      <c r="B63" s="170" t="s">
        <v>291</v>
      </c>
      <c r="C63" s="185" t="s">
        <v>292</v>
      </c>
      <c r="D63" s="191">
        <f>D64</f>
        <v>829475000</v>
      </c>
      <c r="E63" s="191">
        <f t="shared" ref="E63:G63" si="22">E64</f>
        <v>63605250</v>
      </c>
      <c r="F63" s="191">
        <f t="shared" si="22"/>
        <v>10715500</v>
      </c>
      <c r="G63" s="191">
        <f t="shared" si="22"/>
        <v>74320750</v>
      </c>
      <c r="H63" s="236">
        <f t="shared" si="19"/>
        <v>8.9599746827812771E-2</v>
      </c>
      <c r="I63" s="207"/>
      <c r="J63" s="175"/>
    </row>
    <row r="64" spans="1:11" s="187" customFormat="1" ht="22.5" customHeight="1" x14ac:dyDescent="0.25">
      <c r="A64" s="169"/>
      <c r="B64" s="178" t="s">
        <v>501</v>
      </c>
      <c r="C64" s="183" t="s">
        <v>292</v>
      </c>
      <c r="D64" s="192">
        <v>829475000</v>
      </c>
      <c r="E64" s="192">
        <f>'Realisasi Juni'!G64</f>
        <v>63605250</v>
      </c>
      <c r="F64" s="192">
        <v>10715500</v>
      </c>
      <c r="G64" s="192">
        <f>E64+F64</f>
        <v>74320750</v>
      </c>
      <c r="H64" s="24">
        <f t="shared" si="19"/>
        <v>8.9599746827812771E-2</v>
      </c>
      <c r="I64" s="207" t="s">
        <v>58</v>
      </c>
      <c r="J64" s="186"/>
    </row>
    <row r="65" spans="1:10" s="176" customFormat="1" x14ac:dyDescent="0.25">
      <c r="A65" s="169" t="s">
        <v>414</v>
      </c>
      <c r="B65" s="170" t="s">
        <v>285</v>
      </c>
      <c r="C65" s="185" t="s">
        <v>444</v>
      </c>
      <c r="D65" s="191">
        <f>D66+D68+D70</f>
        <v>28168525000</v>
      </c>
      <c r="E65" s="191">
        <f t="shared" ref="E65:G65" si="23">E66+E68+E70</f>
        <v>10444846250</v>
      </c>
      <c r="F65" s="191">
        <f t="shared" si="23"/>
        <v>2153382000</v>
      </c>
      <c r="G65" s="191">
        <f t="shared" si="23"/>
        <v>12598228250</v>
      </c>
      <c r="H65" s="236">
        <f t="shared" si="19"/>
        <v>0.44724486816402348</v>
      </c>
      <c r="I65" s="207" t="s">
        <v>59</v>
      </c>
      <c r="J65" s="175"/>
    </row>
    <row r="66" spans="1:10" s="176" customFormat="1" x14ac:dyDescent="0.25">
      <c r="A66" s="169"/>
      <c r="B66" s="170" t="s">
        <v>293</v>
      </c>
      <c r="C66" s="185" t="s">
        <v>502</v>
      </c>
      <c r="D66" s="191">
        <f>D67</f>
        <v>74722500</v>
      </c>
      <c r="E66" s="191">
        <f t="shared" ref="E66:G66" si="24">E67</f>
        <v>59274000</v>
      </c>
      <c r="F66" s="191">
        <f t="shared" si="24"/>
        <v>17490000</v>
      </c>
      <c r="G66" s="191">
        <f t="shared" si="24"/>
        <v>76764000</v>
      </c>
      <c r="H66" s="236">
        <f t="shared" si="19"/>
        <v>1.0273210880256951</v>
      </c>
      <c r="I66" s="207"/>
      <c r="J66" s="175"/>
    </row>
    <row r="67" spans="1:10" s="176" customFormat="1" x14ac:dyDescent="0.25">
      <c r="A67" s="188"/>
      <c r="B67" s="178" t="s">
        <v>503</v>
      </c>
      <c r="C67" s="183" t="s">
        <v>504</v>
      </c>
      <c r="D67" s="192">
        <v>74722500</v>
      </c>
      <c r="E67" s="192">
        <f>'Realisasi Juni'!G67</f>
        <v>59274000</v>
      </c>
      <c r="F67" s="192">
        <v>17490000</v>
      </c>
      <c r="G67" s="192">
        <f>E67+F67</f>
        <v>76764000</v>
      </c>
      <c r="H67" s="24">
        <f t="shared" si="19"/>
        <v>1.0273210880256951</v>
      </c>
      <c r="I67" s="207"/>
      <c r="J67" s="175"/>
    </row>
    <row r="68" spans="1:10" s="176" customFormat="1" x14ac:dyDescent="0.25">
      <c r="A68" s="169"/>
      <c r="B68" s="170" t="s">
        <v>294</v>
      </c>
      <c r="C68" s="185" t="s">
        <v>295</v>
      </c>
      <c r="D68" s="191">
        <f>D69</f>
        <v>27808802500</v>
      </c>
      <c r="E68" s="191">
        <f t="shared" ref="E68:G68" si="25">E69</f>
        <v>10351793700</v>
      </c>
      <c r="F68" s="191">
        <f t="shared" si="25"/>
        <v>2121774000</v>
      </c>
      <c r="G68" s="191">
        <f t="shared" si="25"/>
        <v>12473567700</v>
      </c>
      <c r="H68" s="236">
        <f t="shared" si="19"/>
        <v>0.4485474590284857</v>
      </c>
      <c r="I68" s="218"/>
      <c r="J68" s="175"/>
    </row>
    <row r="69" spans="1:10" s="176" customFormat="1" x14ac:dyDescent="0.25">
      <c r="A69" s="188"/>
      <c r="B69" s="178" t="s">
        <v>505</v>
      </c>
      <c r="C69" s="183" t="s">
        <v>295</v>
      </c>
      <c r="D69" s="192">
        <v>27808802500</v>
      </c>
      <c r="E69" s="192">
        <f>'Realisasi Juni'!G69</f>
        <v>10351793700</v>
      </c>
      <c r="F69" s="192">
        <f>[4]JULI!$Q$74</f>
        <v>2121774000</v>
      </c>
      <c r="G69" s="192">
        <f>E69+F69</f>
        <v>12473567700</v>
      </c>
      <c r="H69" s="24">
        <f t="shared" si="19"/>
        <v>0.4485474590284857</v>
      </c>
      <c r="I69" s="218"/>
      <c r="J69" s="175"/>
    </row>
    <row r="70" spans="1:10" s="176" customFormat="1" x14ac:dyDescent="0.25">
      <c r="A70" s="188"/>
      <c r="B70" s="170" t="s">
        <v>296</v>
      </c>
      <c r="C70" s="185" t="s">
        <v>297</v>
      </c>
      <c r="D70" s="191">
        <f>SUM(D71)</f>
        <v>285000000</v>
      </c>
      <c r="E70" s="191">
        <f t="shared" ref="E70:G70" si="26">SUM(E71)</f>
        <v>33778550</v>
      </c>
      <c r="F70" s="191">
        <f t="shared" si="26"/>
        <v>14118000</v>
      </c>
      <c r="G70" s="191">
        <f t="shared" si="26"/>
        <v>47896550</v>
      </c>
      <c r="H70" s="24">
        <f t="shared" si="19"/>
        <v>0.16805807017543858</v>
      </c>
      <c r="I70" s="218"/>
      <c r="J70" s="175"/>
    </row>
    <row r="71" spans="1:10" s="176" customFormat="1" x14ac:dyDescent="0.25">
      <c r="A71" s="188"/>
      <c r="B71" s="178" t="s">
        <v>506</v>
      </c>
      <c r="C71" s="183" t="s">
        <v>297</v>
      </c>
      <c r="D71" s="192">
        <v>285000000</v>
      </c>
      <c r="E71" s="192">
        <f>'Realisasi Juni'!G71</f>
        <v>33778550</v>
      </c>
      <c r="F71" s="192">
        <v>14118000</v>
      </c>
      <c r="G71" s="192">
        <f>E71+F71</f>
        <v>47896550</v>
      </c>
      <c r="H71" s="24">
        <f t="shared" si="19"/>
        <v>0.16805807017543858</v>
      </c>
      <c r="I71" s="218"/>
      <c r="J71" s="175"/>
    </row>
    <row r="72" spans="1:10" s="176" customFormat="1" x14ac:dyDescent="0.25">
      <c r="A72" s="169" t="s">
        <v>415</v>
      </c>
      <c r="B72" s="170" t="s">
        <v>298</v>
      </c>
      <c r="C72" s="185" t="s">
        <v>60</v>
      </c>
      <c r="D72" s="191">
        <f>SUM(D73)</f>
        <v>2000000</v>
      </c>
      <c r="E72" s="191"/>
      <c r="F72" s="191">
        <f t="shared" ref="F72:G72" si="27">SUM(F73)</f>
        <v>0</v>
      </c>
      <c r="G72" s="191">
        <f t="shared" si="27"/>
        <v>0</v>
      </c>
      <c r="H72" s="236">
        <f t="shared" si="19"/>
        <v>0</v>
      </c>
      <c r="I72" s="207" t="s">
        <v>61</v>
      </c>
      <c r="J72" s="175"/>
    </row>
    <row r="73" spans="1:10" s="187" customFormat="1" x14ac:dyDescent="0.25">
      <c r="A73" s="169"/>
      <c r="B73" s="170" t="s">
        <v>299</v>
      </c>
      <c r="C73" s="185" t="s">
        <v>300</v>
      </c>
      <c r="D73" s="191">
        <f>D74</f>
        <v>2000000</v>
      </c>
      <c r="E73" s="191"/>
      <c r="F73" s="191">
        <f t="shared" ref="F73:G73" si="28">F74</f>
        <v>0</v>
      </c>
      <c r="G73" s="191">
        <f t="shared" si="28"/>
        <v>0</v>
      </c>
      <c r="H73" s="236">
        <f t="shared" si="19"/>
        <v>0</v>
      </c>
      <c r="I73" s="263"/>
      <c r="J73" s="186"/>
    </row>
    <row r="74" spans="1:10" s="176" customFormat="1" x14ac:dyDescent="0.25">
      <c r="A74" s="188"/>
      <c r="B74" s="178" t="s">
        <v>507</v>
      </c>
      <c r="C74" s="183" t="s">
        <v>300</v>
      </c>
      <c r="D74" s="192">
        <v>2000000</v>
      </c>
      <c r="E74" s="192">
        <f>'Realisasi Juni'!G74</f>
        <v>0</v>
      </c>
      <c r="F74" s="192">
        <v>0</v>
      </c>
      <c r="G74" s="192">
        <f>E74+F74</f>
        <v>0</v>
      </c>
      <c r="H74" s="24">
        <f t="shared" si="19"/>
        <v>0</v>
      </c>
      <c r="I74" s="219"/>
      <c r="J74" s="175"/>
    </row>
    <row r="75" spans="1:10" s="176" customFormat="1" x14ac:dyDescent="0.25">
      <c r="A75" s="188"/>
      <c r="B75" s="178"/>
      <c r="C75" s="183"/>
      <c r="D75" s="192"/>
      <c r="E75" s="192"/>
      <c r="F75" s="192"/>
      <c r="G75" s="191"/>
      <c r="H75" s="236"/>
      <c r="I75" s="220"/>
      <c r="J75" s="175"/>
    </row>
    <row r="76" spans="1:10" s="176" customFormat="1" x14ac:dyDescent="0.25">
      <c r="A76" s="168" t="s">
        <v>62</v>
      </c>
      <c r="B76" s="22" t="s">
        <v>301</v>
      </c>
      <c r="C76" s="185" t="s">
        <v>63</v>
      </c>
      <c r="D76" s="191">
        <f t="shared" ref="D76:G78" si="29">D77</f>
        <v>25000000</v>
      </c>
      <c r="E76" s="191">
        <f t="shared" si="29"/>
        <v>13287000</v>
      </c>
      <c r="F76" s="191">
        <f t="shared" si="29"/>
        <v>2000000</v>
      </c>
      <c r="G76" s="191">
        <f t="shared" si="29"/>
        <v>15287000</v>
      </c>
      <c r="H76" s="236">
        <f>G76/D76</f>
        <v>0.61148000000000002</v>
      </c>
      <c r="I76" s="209"/>
      <c r="J76" s="175"/>
    </row>
    <row r="77" spans="1:10" s="187" customFormat="1" x14ac:dyDescent="0.25">
      <c r="A77" s="169"/>
      <c r="B77" s="170" t="s">
        <v>285</v>
      </c>
      <c r="C77" s="185" t="s">
        <v>444</v>
      </c>
      <c r="D77" s="191">
        <f t="shared" si="29"/>
        <v>25000000</v>
      </c>
      <c r="E77" s="191">
        <f t="shared" si="29"/>
        <v>13287000</v>
      </c>
      <c r="F77" s="191">
        <f t="shared" si="29"/>
        <v>2000000</v>
      </c>
      <c r="G77" s="191">
        <f t="shared" si="29"/>
        <v>15287000</v>
      </c>
      <c r="H77" s="236">
        <f>G77/D77</f>
        <v>0.61148000000000002</v>
      </c>
      <c r="I77" s="216"/>
      <c r="J77" s="186"/>
    </row>
    <row r="78" spans="1:10" s="187" customFormat="1" x14ac:dyDescent="0.25">
      <c r="A78" s="169"/>
      <c r="B78" s="170" t="s">
        <v>302</v>
      </c>
      <c r="C78" s="185" t="s">
        <v>64</v>
      </c>
      <c r="D78" s="191">
        <f>D79</f>
        <v>25000000</v>
      </c>
      <c r="E78" s="191">
        <f t="shared" si="29"/>
        <v>13287000</v>
      </c>
      <c r="F78" s="191">
        <f t="shared" si="29"/>
        <v>2000000</v>
      </c>
      <c r="G78" s="191">
        <f t="shared" si="29"/>
        <v>15287000</v>
      </c>
      <c r="H78" s="236">
        <f>G78/D78</f>
        <v>0.61148000000000002</v>
      </c>
      <c r="I78" s="216"/>
      <c r="J78" s="186"/>
    </row>
    <row r="79" spans="1:10" s="176" customFormat="1" x14ac:dyDescent="0.25">
      <c r="A79" s="27"/>
      <c r="B79" s="178" t="s">
        <v>508</v>
      </c>
      <c r="C79" s="28" t="s">
        <v>509</v>
      </c>
      <c r="D79" s="192">
        <v>25000000</v>
      </c>
      <c r="E79" s="192">
        <f>'Realisasi Juni'!G79</f>
        <v>13287000</v>
      </c>
      <c r="F79" s="192">
        <v>2000000</v>
      </c>
      <c r="G79" s="192">
        <f>E79+F79</f>
        <v>15287000</v>
      </c>
      <c r="H79" s="24">
        <f>G79/D79</f>
        <v>0.61148000000000002</v>
      </c>
      <c r="I79" s="207" t="s">
        <v>65</v>
      </c>
      <c r="J79" s="175"/>
    </row>
    <row r="80" spans="1:10" s="176" customFormat="1" x14ac:dyDescent="0.25">
      <c r="A80" s="27"/>
      <c r="B80" s="178"/>
      <c r="C80" s="171"/>
      <c r="D80" s="192"/>
      <c r="E80" s="192"/>
      <c r="F80" s="192"/>
      <c r="G80" s="191"/>
      <c r="H80" s="236"/>
      <c r="I80" s="207"/>
      <c r="J80" s="175"/>
    </row>
    <row r="81" spans="1:10" s="176" customFormat="1" x14ac:dyDescent="0.25">
      <c r="A81" s="168" t="s">
        <v>66</v>
      </c>
      <c r="B81" s="22" t="s">
        <v>303</v>
      </c>
      <c r="C81" s="185" t="s">
        <v>67</v>
      </c>
      <c r="D81" s="196">
        <f>SUM(D82)</f>
        <v>9950000</v>
      </c>
      <c r="E81" s="196"/>
      <c r="F81" s="196">
        <f t="shared" ref="F81:G81" si="30">SUM(F82)</f>
        <v>0</v>
      </c>
      <c r="G81" s="196">
        <f t="shared" si="30"/>
        <v>0</v>
      </c>
      <c r="H81" s="236">
        <f t="shared" ref="H81:H86" si="31">G81/D81</f>
        <v>0</v>
      </c>
      <c r="I81" s="209"/>
      <c r="J81" s="175"/>
    </row>
    <row r="82" spans="1:10" s="176" customFormat="1" x14ac:dyDescent="0.25">
      <c r="A82" s="27"/>
      <c r="B82" s="170" t="s">
        <v>298</v>
      </c>
      <c r="C82" s="185" t="s">
        <v>60</v>
      </c>
      <c r="D82" s="191">
        <f>D83+D85</f>
        <v>9950000</v>
      </c>
      <c r="E82" s="191"/>
      <c r="F82" s="191">
        <f t="shared" ref="F82:G82" si="32">F83+F85</f>
        <v>0</v>
      </c>
      <c r="G82" s="191">
        <f t="shared" si="32"/>
        <v>0</v>
      </c>
      <c r="H82" s="236">
        <f t="shared" si="31"/>
        <v>0</v>
      </c>
      <c r="I82" s="207"/>
      <c r="J82" s="175"/>
    </row>
    <row r="83" spans="1:10" s="187" customFormat="1" x14ac:dyDescent="0.25">
      <c r="A83" s="264"/>
      <c r="B83" s="170" t="s">
        <v>304</v>
      </c>
      <c r="C83" s="185" t="s">
        <v>68</v>
      </c>
      <c r="D83" s="191">
        <f>D84</f>
        <v>0</v>
      </c>
      <c r="E83" s="191"/>
      <c r="F83" s="191">
        <f t="shared" ref="F83:G83" si="33">F84</f>
        <v>0</v>
      </c>
      <c r="G83" s="191">
        <f t="shared" si="33"/>
        <v>0</v>
      </c>
      <c r="H83" s="236" t="e">
        <f t="shared" si="31"/>
        <v>#DIV/0!</v>
      </c>
      <c r="I83" s="216" t="s">
        <v>69</v>
      </c>
      <c r="J83" s="186"/>
    </row>
    <row r="84" spans="1:10" s="176" customFormat="1" x14ac:dyDescent="0.25">
      <c r="A84" s="27"/>
      <c r="B84" s="178" t="s">
        <v>510</v>
      </c>
      <c r="C84" s="183" t="s">
        <v>68</v>
      </c>
      <c r="D84" s="192">
        <v>0</v>
      </c>
      <c r="E84" s="192">
        <f>'Realisasi Juni'!G84</f>
        <v>0</v>
      </c>
      <c r="F84" s="192"/>
      <c r="G84" s="192">
        <f>E84+F84</f>
        <v>0</v>
      </c>
      <c r="H84" s="24" t="e">
        <f t="shared" si="31"/>
        <v>#DIV/0!</v>
      </c>
      <c r="I84" s="207" t="s">
        <v>69</v>
      </c>
      <c r="J84" s="175"/>
    </row>
    <row r="85" spans="1:10" s="187" customFormat="1" x14ac:dyDescent="0.25">
      <c r="A85" s="264"/>
      <c r="B85" s="170" t="s">
        <v>305</v>
      </c>
      <c r="C85" s="185" t="s">
        <v>70</v>
      </c>
      <c r="D85" s="191">
        <f>D86</f>
        <v>9950000</v>
      </c>
      <c r="E85" s="191"/>
      <c r="F85" s="191">
        <f t="shared" ref="F85:G85" si="34">F86</f>
        <v>0</v>
      </c>
      <c r="G85" s="191">
        <f t="shared" si="34"/>
        <v>0</v>
      </c>
      <c r="H85" s="236">
        <f t="shared" si="31"/>
        <v>0</v>
      </c>
      <c r="I85" s="216" t="s">
        <v>71</v>
      </c>
      <c r="J85" s="186"/>
    </row>
    <row r="86" spans="1:10" s="176" customFormat="1" x14ac:dyDescent="0.25">
      <c r="A86" s="27"/>
      <c r="B86" s="178" t="s">
        <v>511</v>
      </c>
      <c r="C86" s="183" t="s">
        <v>70</v>
      </c>
      <c r="D86" s="192">
        <v>9950000</v>
      </c>
      <c r="E86" s="192">
        <f>'Realisasi Juni'!G86</f>
        <v>0</v>
      </c>
      <c r="F86" s="192"/>
      <c r="G86" s="192">
        <f>E86+F86</f>
        <v>0</v>
      </c>
      <c r="H86" s="24">
        <f t="shared" si="31"/>
        <v>0</v>
      </c>
      <c r="I86" s="207" t="s">
        <v>71</v>
      </c>
      <c r="J86" s="175"/>
    </row>
    <row r="87" spans="1:10" s="176" customFormat="1" x14ac:dyDescent="0.25">
      <c r="A87" s="27"/>
      <c r="B87" s="178"/>
      <c r="C87" s="183"/>
      <c r="D87" s="192"/>
      <c r="E87" s="192"/>
      <c r="F87" s="192"/>
      <c r="G87" s="191"/>
      <c r="H87" s="236"/>
      <c r="I87" s="207"/>
      <c r="J87" s="175"/>
    </row>
    <row r="88" spans="1:10" s="176" customFormat="1" ht="24" customHeight="1" x14ac:dyDescent="0.25">
      <c r="A88" s="29" t="s">
        <v>73</v>
      </c>
      <c r="B88" s="22" t="s">
        <v>307</v>
      </c>
      <c r="C88" s="185" t="s">
        <v>82</v>
      </c>
      <c r="D88" s="196">
        <f>D89</f>
        <v>25440000</v>
      </c>
      <c r="E88" s="196">
        <f t="shared" ref="E88:G88" si="35">E89</f>
        <v>10700000</v>
      </c>
      <c r="F88" s="196">
        <f t="shared" si="35"/>
        <v>1200000</v>
      </c>
      <c r="G88" s="196">
        <f t="shared" si="35"/>
        <v>11900000</v>
      </c>
      <c r="H88" s="236">
        <f>G88/D88</f>
        <v>0.46776729559748426</v>
      </c>
      <c r="I88" s="209"/>
      <c r="J88" s="175"/>
    </row>
    <row r="89" spans="1:10" s="187" customFormat="1" x14ac:dyDescent="0.25">
      <c r="A89" s="169"/>
      <c r="B89" s="170" t="s">
        <v>285</v>
      </c>
      <c r="C89" s="185" t="s">
        <v>444</v>
      </c>
      <c r="D89" s="191">
        <f>D91</f>
        <v>25440000</v>
      </c>
      <c r="E89" s="191">
        <f t="shared" ref="E89:F89" si="36">E91</f>
        <v>10700000</v>
      </c>
      <c r="F89" s="191">
        <f t="shared" si="36"/>
        <v>1200000</v>
      </c>
      <c r="G89" s="191">
        <f>G91</f>
        <v>11900000</v>
      </c>
      <c r="H89" s="236">
        <f>G89/D89</f>
        <v>0.46776729559748426</v>
      </c>
      <c r="I89" s="207" t="s">
        <v>83</v>
      </c>
      <c r="J89" s="186"/>
    </row>
    <row r="90" spans="1:10" s="187" customFormat="1" x14ac:dyDescent="0.25">
      <c r="A90" s="169"/>
      <c r="B90" s="170" t="s">
        <v>308</v>
      </c>
      <c r="C90" s="172" t="s">
        <v>309</v>
      </c>
      <c r="D90" s="191">
        <f>D91</f>
        <v>25440000</v>
      </c>
      <c r="E90" s="191">
        <f t="shared" ref="E90:G90" si="37">E91</f>
        <v>10700000</v>
      </c>
      <c r="F90" s="191">
        <f t="shared" si="37"/>
        <v>1200000</v>
      </c>
      <c r="G90" s="191">
        <f t="shared" si="37"/>
        <v>11900000</v>
      </c>
      <c r="H90" s="236">
        <f>G90/D90</f>
        <v>0.46776729559748426</v>
      </c>
      <c r="I90" s="216"/>
      <c r="J90" s="186"/>
    </row>
    <row r="91" spans="1:10" s="176" customFormat="1" x14ac:dyDescent="0.25">
      <c r="A91" s="188"/>
      <c r="B91" s="178" t="s">
        <v>512</v>
      </c>
      <c r="C91" s="171" t="s">
        <v>309</v>
      </c>
      <c r="D91" s="192">
        <v>25440000</v>
      </c>
      <c r="E91" s="192">
        <f>'Realisasi Juni'!G91</f>
        <v>10700000</v>
      </c>
      <c r="F91" s="192">
        <f>'[9]2022'!$G$40</f>
        <v>1200000</v>
      </c>
      <c r="G91" s="192">
        <f>E91+F91</f>
        <v>11900000</v>
      </c>
      <c r="H91" s="24">
        <f>G91/D91</f>
        <v>0.46776729559748426</v>
      </c>
      <c r="I91" s="207"/>
      <c r="J91" s="175"/>
    </row>
    <row r="92" spans="1:10" s="176" customFormat="1" x14ac:dyDescent="0.25">
      <c r="A92" s="169"/>
      <c r="B92" s="22"/>
      <c r="C92" s="25"/>
      <c r="D92" s="192"/>
      <c r="E92" s="192"/>
      <c r="F92" s="192"/>
      <c r="G92" s="191"/>
      <c r="H92" s="236"/>
      <c r="I92" s="221"/>
      <c r="J92" s="175"/>
    </row>
    <row r="93" spans="1:10" s="176" customFormat="1" ht="24.75" customHeight="1" x14ac:dyDescent="0.25">
      <c r="A93" s="29" t="s">
        <v>74</v>
      </c>
      <c r="B93" s="22" t="s">
        <v>310</v>
      </c>
      <c r="C93" s="185" t="s">
        <v>682</v>
      </c>
      <c r="D93" s="196">
        <f>D94</f>
        <v>1000000000</v>
      </c>
      <c r="E93" s="196"/>
      <c r="F93" s="196">
        <f t="shared" ref="F93:G95" si="38">F94</f>
        <v>0</v>
      </c>
      <c r="G93" s="196">
        <f t="shared" si="38"/>
        <v>0</v>
      </c>
      <c r="H93" s="236">
        <f>G93/D93</f>
        <v>0</v>
      </c>
      <c r="I93" s="207"/>
      <c r="J93" s="175"/>
    </row>
    <row r="94" spans="1:10" s="187" customFormat="1" x14ac:dyDescent="0.25">
      <c r="A94" s="169"/>
      <c r="B94" s="170" t="s">
        <v>288</v>
      </c>
      <c r="C94" s="185" t="s">
        <v>55</v>
      </c>
      <c r="D94" s="191">
        <f>D95</f>
        <v>1000000000</v>
      </c>
      <c r="E94" s="191"/>
      <c r="F94" s="191">
        <f t="shared" si="38"/>
        <v>0</v>
      </c>
      <c r="G94" s="191">
        <f t="shared" si="38"/>
        <v>0</v>
      </c>
      <c r="H94" s="236">
        <f>G94/D94</f>
        <v>0</v>
      </c>
      <c r="I94" s="216" t="s">
        <v>85</v>
      </c>
      <c r="J94" s="186"/>
    </row>
    <row r="95" spans="1:10" s="187" customFormat="1" x14ac:dyDescent="0.25">
      <c r="A95" s="169"/>
      <c r="B95" s="170" t="s">
        <v>311</v>
      </c>
      <c r="C95" s="185" t="s">
        <v>312</v>
      </c>
      <c r="D95" s="191">
        <f>D96</f>
        <v>1000000000</v>
      </c>
      <c r="E95" s="191"/>
      <c r="F95" s="191">
        <f t="shared" si="38"/>
        <v>0</v>
      </c>
      <c r="G95" s="191">
        <f t="shared" si="38"/>
        <v>0</v>
      </c>
      <c r="H95" s="236">
        <f>G95/D95</f>
        <v>0</v>
      </c>
      <c r="I95" s="216"/>
      <c r="J95" s="186"/>
    </row>
    <row r="96" spans="1:10" s="176" customFormat="1" x14ac:dyDescent="0.25">
      <c r="A96" s="188"/>
      <c r="B96" s="178" t="s">
        <v>513</v>
      </c>
      <c r="C96" s="183" t="s">
        <v>312</v>
      </c>
      <c r="D96" s="192">
        <v>1000000000</v>
      </c>
      <c r="E96" s="192">
        <f>'Realisasi Juni'!G96</f>
        <v>0</v>
      </c>
      <c r="F96" s="192"/>
      <c r="G96" s="192">
        <f>E96+F96</f>
        <v>0</v>
      </c>
      <c r="H96" s="24">
        <f>G96/D96</f>
        <v>0</v>
      </c>
      <c r="I96" s="207"/>
      <c r="J96" s="175"/>
    </row>
    <row r="97" spans="1:11" s="176" customFormat="1" x14ac:dyDescent="0.25">
      <c r="A97" s="188"/>
      <c r="B97" s="178"/>
      <c r="C97" s="183"/>
      <c r="D97" s="192"/>
      <c r="E97" s="192"/>
      <c r="F97" s="192"/>
      <c r="G97" s="191"/>
      <c r="H97" s="236"/>
      <c r="I97" s="207"/>
      <c r="J97" s="175"/>
    </row>
    <row r="98" spans="1:11" s="176" customFormat="1" ht="41.25" customHeight="1" x14ac:dyDescent="0.25">
      <c r="A98" s="168" t="s">
        <v>86</v>
      </c>
      <c r="B98" s="189" t="s">
        <v>313</v>
      </c>
      <c r="C98" s="30" t="s">
        <v>87</v>
      </c>
      <c r="D98" s="196">
        <f>SUM(D99)</f>
        <v>1663748323.6700001</v>
      </c>
      <c r="E98" s="196">
        <f t="shared" ref="E98:G98" si="39">SUM(E99)</f>
        <v>1079761191</v>
      </c>
      <c r="F98" s="196">
        <f t="shared" si="39"/>
        <v>0</v>
      </c>
      <c r="G98" s="196">
        <f t="shared" si="39"/>
        <v>1079761191</v>
      </c>
      <c r="H98" s="236">
        <f>G98/D98</f>
        <v>0.64899310529022514</v>
      </c>
      <c r="I98" s="209"/>
      <c r="J98" s="175"/>
    </row>
    <row r="99" spans="1:11" s="176" customFormat="1" ht="32.25" customHeight="1" x14ac:dyDescent="0.25">
      <c r="A99" s="188"/>
      <c r="B99" s="189" t="s">
        <v>314</v>
      </c>
      <c r="C99" s="30" t="s">
        <v>88</v>
      </c>
      <c r="D99" s="191">
        <f>SUM(D100:D102)</f>
        <v>1663748323.6700001</v>
      </c>
      <c r="E99" s="191">
        <f t="shared" ref="E99:G99" si="40">SUM(E100:E102)</f>
        <v>1079761191</v>
      </c>
      <c r="F99" s="191">
        <f t="shared" si="40"/>
        <v>0</v>
      </c>
      <c r="G99" s="191">
        <f t="shared" si="40"/>
        <v>1079761191</v>
      </c>
      <c r="H99" s="236">
        <f>G99/D99</f>
        <v>0.64899310529022514</v>
      </c>
      <c r="I99" s="209"/>
      <c r="J99" s="175"/>
    </row>
    <row r="100" spans="1:11" s="176" customFormat="1" x14ac:dyDescent="0.25">
      <c r="A100" s="184" t="s">
        <v>89</v>
      </c>
      <c r="B100" s="190" t="s">
        <v>314</v>
      </c>
      <c r="C100" s="183" t="s">
        <v>90</v>
      </c>
      <c r="D100" s="192">
        <v>895097347.66999996</v>
      </c>
      <c r="E100" s="192">
        <f>'Realisasi Juni'!G100</f>
        <v>1079761191</v>
      </c>
      <c r="F100" s="192"/>
      <c r="G100" s="192">
        <f>E100+F100</f>
        <v>1079761191</v>
      </c>
      <c r="H100" s="24">
        <f>G100/D100</f>
        <v>1.2063058770207427</v>
      </c>
      <c r="I100" s="207"/>
      <c r="J100" s="175"/>
    </row>
    <row r="101" spans="1:11" s="176" customFormat="1" x14ac:dyDescent="0.25">
      <c r="A101" s="184" t="s">
        <v>91</v>
      </c>
      <c r="B101" s="190" t="s">
        <v>314</v>
      </c>
      <c r="C101" s="183" t="s">
        <v>92</v>
      </c>
      <c r="D101" s="192">
        <v>455948308</v>
      </c>
      <c r="E101" s="192">
        <f>'Realisasi Juni'!G101</f>
        <v>0</v>
      </c>
      <c r="F101" s="192"/>
      <c r="G101" s="192">
        <f t="shared" ref="G101:G102" si="41">E101+F101</f>
        <v>0</v>
      </c>
      <c r="H101" s="24">
        <f>G101/D101</f>
        <v>0</v>
      </c>
      <c r="I101" s="207" t="s">
        <v>93</v>
      </c>
      <c r="J101" s="175"/>
    </row>
    <row r="102" spans="1:11" s="176" customFormat="1" x14ac:dyDescent="0.25">
      <c r="A102" s="184" t="s">
        <v>72</v>
      </c>
      <c r="B102" s="190" t="s">
        <v>314</v>
      </c>
      <c r="C102" s="183" t="s">
        <v>94</v>
      </c>
      <c r="D102" s="192">
        <v>312702668</v>
      </c>
      <c r="E102" s="192">
        <f>'Realisasi Juni'!G102</f>
        <v>0</v>
      </c>
      <c r="F102" s="192"/>
      <c r="G102" s="192">
        <f t="shared" si="41"/>
        <v>0</v>
      </c>
      <c r="H102" s="24">
        <f>G102/D102</f>
        <v>0</v>
      </c>
      <c r="I102" s="207"/>
      <c r="J102" s="175"/>
    </row>
    <row r="103" spans="1:11" s="176" customFormat="1" x14ac:dyDescent="0.25">
      <c r="A103" s="188"/>
      <c r="B103" s="178"/>
      <c r="C103" s="183"/>
      <c r="D103" s="192"/>
      <c r="E103" s="192"/>
      <c r="F103" s="192"/>
      <c r="G103" s="191"/>
      <c r="H103" s="236"/>
      <c r="I103" s="207"/>
      <c r="J103" s="175"/>
    </row>
    <row r="104" spans="1:11" s="176" customFormat="1" ht="21" customHeight="1" x14ac:dyDescent="0.25">
      <c r="A104" s="169" t="s">
        <v>95</v>
      </c>
      <c r="B104" s="189" t="s">
        <v>315</v>
      </c>
      <c r="C104" s="185" t="s">
        <v>96</v>
      </c>
      <c r="D104" s="191">
        <f>SUM(D106+D117+D121+D125+D138+D140+D153+D155+D162+D202+D216+D222+D111+D114+D134)</f>
        <v>146329185066</v>
      </c>
      <c r="E104" s="191">
        <f>SUM(E106+E117+E121+E125+E138+E140+E153+E155+E162+E202+E216+E222+E111+E114+E134)</f>
        <v>113825904668.42999</v>
      </c>
      <c r="F104" s="191">
        <f>SUM(F106+F117+F121+F125+F138+F140+F153+F155+F162+F202+F216+F222+F111+F114+F134)</f>
        <v>10684804161.99</v>
      </c>
      <c r="G104" s="191">
        <f>SUM(G106+G117+G121+G125+G138+G140+G153+G155+G162+G202+G216+G222+G111+G114+G134)</f>
        <v>124510708830.42</v>
      </c>
      <c r="H104" s="236">
        <f>G104/D104</f>
        <v>0.85089456880567571</v>
      </c>
      <c r="I104" s="209"/>
      <c r="J104" s="175"/>
      <c r="K104" s="270"/>
    </row>
    <row r="105" spans="1:11" s="176" customFormat="1" x14ac:dyDescent="0.25">
      <c r="A105" s="169"/>
      <c r="B105" s="31"/>
      <c r="C105" s="32"/>
      <c r="D105" s="192"/>
      <c r="E105" s="192"/>
      <c r="F105" s="192"/>
      <c r="G105" s="191"/>
      <c r="H105" s="236"/>
      <c r="I105" s="209"/>
      <c r="J105" s="175"/>
    </row>
    <row r="106" spans="1:11" s="176" customFormat="1" x14ac:dyDescent="0.25">
      <c r="A106" s="168" t="s">
        <v>19</v>
      </c>
      <c r="B106" s="189" t="s">
        <v>587</v>
      </c>
      <c r="C106" s="180" t="s">
        <v>589</v>
      </c>
      <c r="D106" s="191">
        <f>D108</f>
        <v>3029424600</v>
      </c>
      <c r="E106" s="191"/>
      <c r="F106" s="191">
        <f t="shared" ref="F106:G106" si="42">F108</f>
        <v>0</v>
      </c>
      <c r="G106" s="191">
        <f t="shared" si="42"/>
        <v>0</v>
      </c>
      <c r="H106" s="236">
        <f>G106/D106</f>
        <v>0</v>
      </c>
      <c r="I106" s="209"/>
      <c r="J106" s="175"/>
    </row>
    <row r="107" spans="1:11" s="176" customFormat="1" x14ac:dyDescent="0.25">
      <c r="A107" s="168"/>
      <c r="B107" s="189" t="s">
        <v>588</v>
      </c>
      <c r="C107" s="180" t="s">
        <v>589</v>
      </c>
      <c r="D107" s="191"/>
      <c r="E107" s="191"/>
      <c r="F107" s="192"/>
      <c r="G107" s="191"/>
      <c r="H107" s="236"/>
      <c r="I107" s="209"/>
      <c r="J107" s="175"/>
    </row>
    <row r="108" spans="1:11" s="176" customFormat="1" x14ac:dyDescent="0.25">
      <c r="A108" s="168"/>
      <c r="B108" s="189" t="s">
        <v>584</v>
      </c>
      <c r="C108" s="180" t="s">
        <v>585</v>
      </c>
      <c r="D108" s="191">
        <f>D109</f>
        <v>3029424600</v>
      </c>
      <c r="E108" s="191"/>
      <c r="F108" s="191">
        <f t="shared" ref="F108:G108" si="43">F109</f>
        <v>0</v>
      </c>
      <c r="G108" s="191">
        <f t="shared" si="43"/>
        <v>0</v>
      </c>
      <c r="H108" s="236">
        <f>G108/D108</f>
        <v>0</v>
      </c>
      <c r="I108" s="209"/>
      <c r="J108" s="175"/>
    </row>
    <row r="109" spans="1:11" s="176" customFormat="1" x14ac:dyDescent="0.25">
      <c r="A109" s="168"/>
      <c r="B109" s="190"/>
      <c r="C109" s="33" t="s">
        <v>586</v>
      </c>
      <c r="D109" s="192">
        <v>3029424600</v>
      </c>
      <c r="E109" s="192">
        <f>'Realisasi Mei'!G109</f>
        <v>0</v>
      </c>
      <c r="F109" s="192"/>
      <c r="G109" s="192">
        <f>E109+F109</f>
        <v>0</v>
      </c>
      <c r="H109" s="24">
        <f>G109/D109</f>
        <v>0</v>
      </c>
      <c r="I109" s="209"/>
      <c r="J109" s="175"/>
    </row>
    <row r="110" spans="1:11" s="176" customFormat="1" x14ac:dyDescent="0.25">
      <c r="A110" s="169"/>
      <c r="B110" s="31"/>
      <c r="C110" s="32"/>
      <c r="D110" s="192"/>
      <c r="E110" s="192"/>
      <c r="F110" s="192"/>
      <c r="G110" s="191"/>
      <c r="H110" s="236"/>
      <c r="I110" s="209"/>
      <c r="J110" s="175"/>
    </row>
    <row r="111" spans="1:11" s="176" customFormat="1" x14ac:dyDescent="0.25">
      <c r="A111" s="168"/>
      <c r="B111" s="190" t="s">
        <v>590</v>
      </c>
      <c r="C111" s="172" t="s">
        <v>581</v>
      </c>
      <c r="D111" s="191">
        <f>SUM(D112)</f>
        <v>0</v>
      </c>
      <c r="E111" s="191"/>
      <c r="F111" s="191">
        <f t="shared" ref="F111:G111" si="44">SUM(F112)</f>
        <v>193993000</v>
      </c>
      <c r="G111" s="191">
        <f t="shared" si="44"/>
        <v>193993000</v>
      </c>
      <c r="H111" s="236"/>
      <c r="I111" s="207"/>
      <c r="J111" s="175"/>
    </row>
    <row r="112" spans="1:11" s="176" customFormat="1" x14ac:dyDescent="0.25">
      <c r="A112" s="168"/>
      <c r="B112" s="189"/>
      <c r="C112" s="193" t="s">
        <v>622</v>
      </c>
      <c r="D112" s="192">
        <v>0</v>
      </c>
      <c r="E112" s="192">
        <f>'Realisasi Mei'!G112</f>
        <v>0</v>
      </c>
      <c r="F112" s="192">
        <v>193993000</v>
      </c>
      <c r="G112" s="192">
        <f>E112+F112</f>
        <v>193993000</v>
      </c>
      <c r="H112" s="236"/>
      <c r="I112" s="207"/>
      <c r="J112" s="175"/>
    </row>
    <row r="113" spans="1:10" s="176" customFormat="1" x14ac:dyDescent="0.25">
      <c r="A113" s="168"/>
      <c r="B113" s="189"/>
      <c r="C113" s="193"/>
      <c r="D113" s="192"/>
      <c r="E113" s="192"/>
      <c r="F113" s="192"/>
      <c r="G113" s="192"/>
      <c r="H113" s="236"/>
      <c r="I113" s="207"/>
      <c r="J113" s="175"/>
    </row>
    <row r="114" spans="1:10" s="176" customFormat="1" x14ac:dyDescent="0.25">
      <c r="A114" s="169"/>
      <c r="B114" s="190" t="s">
        <v>318</v>
      </c>
      <c r="C114" s="172" t="s">
        <v>319</v>
      </c>
      <c r="D114" s="191">
        <f>SUM(D115:D115)</f>
        <v>186000000</v>
      </c>
      <c r="E114" s="191">
        <f>SUM(E115:E115)</f>
        <v>651197335</v>
      </c>
      <c r="F114" s="191">
        <f>SUM(F115:F115)</f>
        <v>115000000</v>
      </c>
      <c r="G114" s="191">
        <f>SUM(G115:G115)</f>
        <v>766197335</v>
      </c>
      <c r="H114" s="236">
        <f>G114/D114</f>
        <v>4.1193405107526884</v>
      </c>
      <c r="I114" s="209"/>
      <c r="J114" s="175"/>
    </row>
    <row r="115" spans="1:10" s="176" customFormat="1" x14ac:dyDescent="0.25">
      <c r="A115" s="169"/>
      <c r="B115" s="190"/>
      <c r="C115" s="193" t="s">
        <v>670</v>
      </c>
      <c r="D115" s="192">
        <v>186000000</v>
      </c>
      <c r="E115" s="192">
        <f>'Realisasi Juni'!G115</f>
        <v>651197335</v>
      </c>
      <c r="F115" s="192">
        <v>115000000</v>
      </c>
      <c r="G115" s="192">
        <f t="shared" ref="G115" si="45">E115+F115</f>
        <v>766197335</v>
      </c>
      <c r="H115" s="24">
        <f t="shared" ref="H115" si="46">G115/D115</f>
        <v>4.1193405107526884</v>
      </c>
      <c r="I115" s="209"/>
      <c r="J115" s="175"/>
    </row>
    <row r="116" spans="1:10" s="176" customFormat="1" x14ac:dyDescent="0.25">
      <c r="A116" s="169"/>
      <c r="B116" s="190"/>
      <c r="C116" s="193"/>
      <c r="D116" s="192"/>
      <c r="E116" s="192"/>
      <c r="F116" s="192"/>
      <c r="G116" s="191"/>
      <c r="H116" s="236"/>
      <c r="I116" s="209"/>
      <c r="J116" s="175"/>
    </row>
    <row r="117" spans="1:10" s="176" customFormat="1" x14ac:dyDescent="0.25">
      <c r="A117" s="168" t="s">
        <v>46</v>
      </c>
      <c r="B117" s="189" t="s">
        <v>342</v>
      </c>
      <c r="C117" s="185" t="s">
        <v>343</v>
      </c>
      <c r="D117" s="191">
        <f>D118</f>
        <v>1000000000</v>
      </c>
      <c r="E117" s="191"/>
      <c r="F117" s="191">
        <f t="shared" ref="F117:G118" si="47">F118</f>
        <v>0</v>
      </c>
      <c r="G117" s="191">
        <f t="shared" si="47"/>
        <v>0</v>
      </c>
      <c r="H117" s="236">
        <f>G117/D117</f>
        <v>0</v>
      </c>
      <c r="I117" s="209"/>
      <c r="J117" s="175"/>
    </row>
    <row r="118" spans="1:10" s="187" customFormat="1" x14ac:dyDescent="0.25">
      <c r="A118" s="169"/>
      <c r="B118" s="189" t="s">
        <v>344</v>
      </c>
      <c r="C118" s="185" t="s">
        <v>349</v>
      </c>
      <c r="D118" s="191">
        <f>D119</f>
        <v>1000000000</v>
      </c>
      <c r="E118" s="191"/>
      <c r="F118" s="191">
        <f t="shared" si="47"/>
        <v>0</v>
      </c>
      <c r="G118" s="191">
        <f t="shared" si="47"/>
        <v>0</v>
      </c>
      <c r="H118" s="236">
        <f>G118/D118</f>
        <v>0</v>
      </c>
      <c r="I118" s="210"/>
      <c r="J118" s="186"/>
    </row>
    <row r="119" spans="1:10" s="176" customFormat="1" x14ac:dyDescent="0.25">
      <c r="A119" s="169"/>
      <c r="B119" s="190"/>
      <c r="C119" s="171" t="s">
        <v>162</v>
      </c>
      <c r="D119" s="192">
        <v>1000000000</v>
      </c>
      <c r="E119" s="192">
        <f>'Realisasi Mei'!G119</f>
        <v>0</v>
      </c>
      <c r="F119" s="192"/>
      <c r="G119" s="192">
        <f>E119+F119</f>
        <v>0</v>
      </c>
      <c r="H119" s="24">
        <f>G119/D119</f>
        <v>0</v>
      </c>
      <c r="I119" s="209"/>
      <c r="J119" s="175"/>
    </row>
    <row r="120" spans="1:10" s="176" customFormat="1" x14ac:dyDescent="0.25">
      <c r="A120" s="169"/>
      <c r="B120" s="190"/>
      <c r="C120" s="193"/>
      <c r="D120" s="192"/>
      <c r="E120" s="192"/>
      <c r="F120" s="192"/>
      <c r="G120" s="191"/>
      <c r="H120" s="236"/>
      <c r="I120" s="209"/>
      <c r="J120" s="175"/>
    </row>
    <row r="121" spans="1:10" s="176" customFormat="1" x14ac:dyDescent="0.25">
      <c r="A121" s="168" t="s">
        <v>8</v>
      </c>
      <c r="B121" s="189" t="s">
        <v>320</v>
      </c>
      <c r="C121" s="185" t="s">
        <v>97</v>
      </c>
      <c r="D121" s="196">
        <f>SUM(D122:D123)</f>
        <v>2750000000</v>
      </c>
      <c r="E121" s="196">
        <f t="shared" ref="E121:G121" si="48">SUM(E122:E123)</f>
        <v>1478861336.1299999</v>
      </c>
      <c r="F121" s="196">
        <f t="shared" si="48"/>
        <v>325640800.87</v>
      </c>
      <c r="G121" s="196">
        <f t="shared" si="48"/>
        <v>1804502137</v>
      </c>
      <c r="H121" s="236">
        <f>G121/D121</f>
        <v>0.65618259527272726</v>
      </c>
      <c r="I121" s="207"/>
      <c r="J121" s="175"/>
    </row>
    <row r="122" spans="1:10" s="176" customFormat="1" x14ac:dyDescent="0.25">
      <c r="A122" s="188"/>
      <c r="B122" s="190" t="s">
        <v>514</v>
      </c>
      <c r="C122" s="183" t="s">
        <v>515</v>
      </c>
      <c r="D122" s="192">
        <v>2500000000</v>
      </c>
      <c r="E122" s="192">
        <f>'Realisasi Juni'!G122</f>
        <v>1440008733.1299999</v>
      </c>
      <c r="F122" s="192">
        <v>314690396.87</v>
      </c>
      <c r="G122" s="192">
        <f>E122+F122</f>
        <v>1754699130</v>
      </c>
      <c r="H122" s="24">
        <f>G122/D122</f>
        <v>0.70187965200000002</v>
      </c>
      <c r="I122" s="207"/>
      <c r="J122" s="175"/>
    </row>
    <row r="123" spans="1:10" s="176" customFormat="1" x14ac:dyDescent="0.25">
      <c r="A123" s="188"/>
      <c r="B123" s="190" t="s">
        <v>517</v>
      </c>
      <c r="C123" s="183" t="s">
        <v>516</v>
      </c>
      <c r="D123" s="192">
        <v>250000000</v>
      </c>
      <c r="E123" s="192">
        <f>'Realisasi Juni'!G123</f>
        <v>38852603</v>
      </c>
      <c r="F123" s="192">
        <v>10950404</v>
      </c>
      <c r="G123" s="192">
        <f>E123+F123</f>
        <v>49803007</v>
      </c>
      <c r="H123" s="24">
        <f>G123/D123</f>
        <v>0.19921202800000001</v>
      </c>
      <c r="I123" s="207"/>
      <c r="J123" s="175"/>
    </row>
    <row r="124" spans="1:10" s="176" customFormat="1" x14ac:dyDescent="0.25">
      <c r="A124" s="188"/>
      <c r="B124" s="178"/>
      <c r="C124" s="183"/>
      <c r="D124" s="192"/>
      <c r="E124" s="192"/>
      <c r="F124" s="192"/>
      <c r="G124" s="191"/>
      <c r="H124" s="236"/>
      <c r="I124" s="207"/>
      <c r="J124" s="175"/>
    </row>
    <row r="125" spans="1:10" s="176" customFormat="1" x14ac:dyDescent="0.25">
      <c r="A125" s="168" t="s">
        <v>49</v>
      </c>
      <c r="B125" s="189" t="s">
        <v>321</v>
      </c>
      <c r="C125" s="180" t="s">
        <v>98</v>
      </c>
      <c r="D125" s="196">
        <f>D126</f>
        <v>2600000000</v>
      </c>
      <c r="E125" s="196">
        <f t="shared" ref="E125:G126" si="49">E126</f>
        <v>297882666.05000001</v>
      </c>
      <c r="F125" s="196">
        <f t="shared" si="49"/>
        <v>80039436.840000004</v>
      </c>
      <c r="G125" s="196">
        <f t="shared" si="49"/>
        <v>377922102.88999999</v>
      </c>
      <c r="H125" s="236">
        <f t="shared" ref="H125:H131" si="50">G125/D125</f>
        <v>0.14535465495769231</v>
      </c>
      <c r="I125" s="207"/>
      <c r="J125" s="175"/>
    </row>
    <row r="126" spans="1:10" s="176" customFormat="1" x14ac:dyDescent="0.25">
      <c r="A126" s="168"/>
      <c r="B126" s="189" t="s">
        <v>322</v>
      </c>
      <c r="C126" s="180" t="s">
        <v>323</v>
      </c>
      <c r="D126" s="196">
        <f>D127</f>
        <v>2600000000</v>
      </c>
      <c r="E126" s="196">
        <f t="shared" si="49"/>
        <v>297882666.05000001</v>
      </c>
      <c r="F126" s="196">
        <f t="shared" si="49"/>
        <v>80039436.840000004</v>
      </c>
      <c r="G126" s="196">
        <f t="shared" si="49"/>
        <v>377922102.88999999</v>
      </c>
      <c r="H126" s="236">
        <f t="shared" si="50"/>
        <v>0.14535465495769231</v>
      </c>
      <c r="I126" s="207"/>
      <c r="J126" s="175"/>
    </row>
    <row r="127" spans="1:10" s="176" customFormat="1" x14ac:dyDescent="0.25">
      <c r="A127" s="168"/>
      <c r="B127" s="189" t="s">
        <v>518</v>
      </c>
      <c r="C127" s="180" t="s">
        <v>323</v>
      </c>
      <c r="D127" s="196">
        <f>SUM(D128:D132)</f>
        <v>2600000000</v>
      </c>
      <c r="E127" s="196">
        <f>'Realisasi Juni'!G127</f>
        <v>297882666.05000001</v>
      </c>
      <c r="F127" s="196">
        <v>80039436.840000004</v>
      </c>
      <c r="G127" s="196">
        <f>E127+F127</f>
        <v>377922102.88999999</v>
      </c>
      <c r="H127" s="236">
        <f t="shared" si="50"/>
        <v>0.14535465495769231</v>
      </c>
      <c r="I127" s="207"/>
      <c r="J127" s="175"/>
    </row>
    <row r="128" spans="1:10" s="176" customFormat="1" x14ac:dyDescent="0.25">
      <c r="A128" s="169"/>
      <c r="B128" s="177"/>
      <c r="C128" s="193" t="s">
        <v>324</v>
      </c>
      <c r="D128" s="181">
        <v>1200000000</v>
      </c>
      <c r="E128" s="181">
        <f>'Realisasi Juni'!G128</f>
        <v>106849200</v>
      </c>
      <c r="F128" s="181">
        <f>26712300</f>
        <v>26712300</v>
      </c>
      <c r="G128" s="192">
        <f>E128+F128</f>
        <v>133561500</v>
      </c>
      <c r="H128" s="24">
        <f t="shared" si="50"/>
        <v>0.11130125</v>
      </c>
      <c r="I128" s="207"/>
      <c r="J128" s="175"/>
    </row>
    <row r="129" spans="1:10" s="176" customFormat="1" x14ac:dyDescent="0.25">
      <c r="A129" s="169"/>
      <c r="B129" s="177"/>
      <c r="C129" s="193" t="s">
        <v>325</v>
      </c>
      <c r="D129" s="181">
        <v>600000000</v>
      </c>
      <c r="E129" s="181">
        <f>'Realisasi Juni'!G129</f>
        <v>44920049.759999998</v>
      </c>
      <c r="F129" s="181">
        <v>10998370.5</v>
      </c>
      <c r="G129" s="192">
        <f t="shared" ref="G129:G132" si="51">E129+F129</f>
        <v>55918420.259999998</v>
      </c>
      <c r="H129" s="24">
        <f t="shared" si="50"/>
        <v>9.3197367099999998E-2</v>
      </c>
      <c r="I129" s="207"/>
      <c r="J129" s="175"/>
    </row>
    <row r="130" spans="1:10" s="176" customFormat="1" x14ac:dyDescent="0.25">
      <c r="A130" s="169"/>
      <c r="B130" s="178"/>
      <c r="C130" s="193" t="s">
        <v>578</v>
      </c>
      <c r="D130" s="181">
        <v>0</v>
      </c>
      <c r="E130" s="181">
        <f>'Realisasi Juni'!G130</f>
        <v>18801370</v>
      </c>
      <c r="F130" s="181">
        <v>9246575</v>
      </c>
      <c r="G130" s="192">
        <f t="shared" si="51"/>
        <v>28047945</v>
      </c>
      <c r="H130" s="24" t="e">
        <f t="shared" si="50"/>
        <v>#DIV/0!</v>
      </c>
      <c r="I130" s="207"/>
      <c r="J130" s="175"/>
    </row>
    <row r="131" spans="1:10" s="176" customFormat="1" x14ac:dyDescent="0.25">
      <c r="A131" s="169"/>
      <c r="B131" s="178"/>
      <c r="C131" s="193" t="s">
        <v>326</v>
      </c>
      <c r="D131" s="181">
        <v>800000000</v>
      </c>
      <c r="E131" s="181">
        <f>'Realisasi Juni'!G131</f>
        <v>90356152</v>
      </c>
      <c r="F131" s="181">
        <f>8219190+3698618+8219190+3698618</f>
        <v>23835616</v>
      </c>
      <c r="G131" s="192">
        <f t="shared" si="51"/>
        <v>114191768</v>
      </c>
      <c r="H131" s="24">
        <f t="shared" si="50"/>
        <v>0.14273970999999999</v>
      </c>
      <c r="I131" s="207"/>
      <c r="J131" s="175"/>
    </row>
    <row r="132" spans="1:10" s="176" customFormat="1" x14ac:dyDescent="0.25">
      <c r="A132" s="169"/>
      <c r="B132" s="178"/>
      <c r="C132" s="193" t="s">
        <v>687</v>
      </c>
      <c r="D132" s="181"/>
      <c r="E132" s="181">
        <f>'Realisasi Juni'!G132</f>
        <v>18801369.859999999</v>
      </c>
      <c r="F132" s="181"/>
      <c r="G132" s="192">
        <f t="shared" si="51"/>
        <v>18801369.859999999</v>
      </c>
      <c r="H132" s="24"/>
      <c r="I132" s="207"/>
      <c r="J132" s="175"/>
    </row>
    <row r="133" spans="1:10" s="176" customFormat="1" x14ac:dyDescent="0.25">
      <c r="A133" s="169"/>
      <c r="B133" s="170"/>
      <c r="C133" s="185"/>
      <c r="D133" s="191"/>
      <c r="E133" s="191"/>
      <c r="F133" s="191"/>
      <c r="G133" s="192"/>
      <c r="H133" s="24"/>
      <c r="I133" s="207"/>
      <c r="J133" s="175"/>
    </row>
    <row r="134" spans="1:10" s="176" customFormat="1" x14ac:dyDescent="0.25">
      <c r="A134" s="168" t="s">
        <v>53</v>
      </c>
      <c r="B134" s="189" t="s">
        <v>623</v>
      </c>
      <c r="C134" s="180" t="s">
        <v>626</v>
      </c>
      <c r="D134" s="196">
        <f>D135</f>
        <v>0</v>
      </c>
      <c r="E134" s="196">
        <f t="shared" ref="E134:G135" si="52">E135</f>
        <v>1015412208.2399999</v>
      </c>
      <c r="F134" s="196">
        <f t="shared" si="52"/>
        <v>64678593.990000002</v>
      </c>
      <c r="G134" s="196">
        <f t="shared" si="52"/>
        <v>1080090802.2299998</v>
      </c>
      <c r="H134" s="236" t="e">
        <f>G134/D134</f>
        <v>#DIV/0!</v>
      </c>
      <c r="I134" s="207"/>
      <c r="J134" s="175"/>
    </row>
    <row r="135" spans="1:10" s="176" customFormat="1" x14ac:dyDescent="0.25">
      <c r="A135" s="169"/>
      <c r="B135" s="189" t="s">
        <v>624</v>
      </c>
      <c r="C135" s="180" t="s">
        <v>626</v>
      </c>
      <c r="D135" s="196">
        <f>D136</f>
        <v>0</v>
      </c>
      <c r="E135" s="196">
        <f t="shared" si="52"/>
        <v>1015412208.2399999</v>
      </c>
      <c r="F135" s="196">
        <f t="shared" si="52"/>
        <v>64678593.990000002</v>
      </c>
      <c r="G135" s="196">
        <f t="shared" si="52"/>
        <v>1080090802.2299998</v>
      </c>
      <c r="H135" s="236" t="e">
        <f>G135/D135</f>
        <v>#DIV/0!</v>
      </c>
      <c r="I135" s="207"/>
      <c r="J135" s="175"/>
    </row>
    <row r="136" spans="1:10" s="176" customFormat="1" x14ac:dyDescent="0.25">
      <c r="A136" s="188"/>
      <c r="B136" s="190" t="s">
        <v>625</v>
      </c>
      <c r="C136" s="33" t="s">
        <v>626</v>
      </c>
      <c r="D136" s="181">
        <v>0</v>
      </c>
      <c r="E136" s="181">
        <f>'Realisasi Juni'!G136</f>
        <v>1015412208.2399999</v>
      </c>
      <c r="F136" s="181">
        <v>64678593.990000002</v>
      </c>
      <c r="G136" s="181">
        <f>E136+F136</f>
        <v>1080090802.2299998</v>
      </c>
      <c r="H136" s="24" t="e">
        <f>G136/D136</f>
        <v>#DIV/0!</v>
      </c>
      <c r="I136" s="207"/>
      <c r="J136" s="175"/>
    </row>
    <row r="137" spans="1:10" s="176" customFormat="1" x14ac:dyDescent="0.25">
      <c r="A137" s="169"/>
      <c r="B137" s="177"/>
      <c r="C137" s="193"/>
      <c r="D137" s="181"/>
      <c r="E137" s="181"/>
      <c r="F137" s="181"/>
      <c r="G137" s="192"/>
      <c r="H137" s="24"/>
      <c r="I137" s="207"/>
      <c r="J137" s="175"/>
    </row>
    <row r="138" spans="1:10" s="176" customFormat="1" x14ac:dyDescent="0.25">
      <c r="A138" s="168" t="s">
        <v>62</v>
      </c>
      <c r="B138" s="179" t="s">
        <v>99</v>
      </c>
      <c r="C138" s="180" t="s">
        <v>100</v>
      </c>
      <c r="D138" s="191">
        <v>0</v>
      </c>
      <c r="E138" s="191">
        <f>'Realisasi April'!G135</f>
        <v>0</v>
      </c>
      <c r="F138" s="191">
        <v>0</v>
      </c>
      <c r="G138" s="191">
        <f>E138+F138</f>
        <v>0</v>
      </c>
      <c r="H138" s="236"/>
      <c r="I138" s="207"/>
      <c r="J138" s="175"/>
    </row>
    <row r="139" spans="1:10" s="176" customFormat="1" x14ac:dyDescent="0.25">
      <c r="A139" s="169"/>
      <c r="B139" s="170"/>
      <c r="C139" s="185"/>
      <c r="D139" s="191"/>
      <c r="E139" s="191"/>
      <c r="F139" s="191"/>
      <c r="G139" s="191"/>
      <c r="H139" s="236"/>
      <c r="I139" s="207"/>
      <c r="J139" s="175"/>
    </row>
    <row r="140" spans="1:10" s="176" customFormat="1" x14ac:dyDescent="0.25">
      <c r="A140" s="168" t="s">
        <v>66</v>
      </c>
      <c r="B140" s="189" t="s">
        <v>328</v>
      </c>
      <c r="C140" s="180" t="s">
        <v>101</v>
      </c>
      <c r="D140" s="191">
        <f>SUM(D141:D151)</f>
        <v>0</v>
      </c>
      <c r="E140" s="191">
        <f t="shared" ref="E140:G140" si="53">SUM(E141:E151)</f>
        <v>1188105175</v>
      </c>
      <c r="F140" s="191">
        <f t="shared" si="53"/>
        <v>6140756</v>
      </c>
      <c r="G140" s="191">
        <f t="shared" si="53"/>
        <v>1194245931</v>
      </c>
      <c r="H140" s="236" t="e">
        <f t="shared" ref="H140:H148" si="54">G140/D140</f>
        <v>#DIV/0!</v>
      </c>
      <c r="I140" s="207"/>
      <c r="J140" s="175"/>
    </row>
    <row r="141" spans="1:10" s="176" customFormat="1" x14ac:dyDescent="0.25">
      <c r="A141" s="188"/>
      <c r="B141" s="190" t="s">
        <v>329</v>
      </c>
      <c r="C141" s="33" t="s">
        <v>102</v>
      </c>
      <c r="D141" s="192"/>
      <c r="E141" s="192">
        <f>'Realisasi Juni'!G141</f>
        <v>14039904</v>
      </c>
      <c r="F141" s="192">
        <v>396238</v>
      </c>
      <c r="G141" s="192">
        <f>E141+F141</f>
        <v>14436142</v>
      </c>
      <c r="H141" s="24" t="e">
        <f t="shared" si="54"/>
        <v>#DIV/0!</v>
      </c>
      <c r="I141" s="207"/>
      <c r="J141" s="175"/>
    </row>
    <row r="142" spans="1:10" s="176" customFormat="1" x14ac:dyDescent="0.25">
      <c r="A142" s="188"/>
      <c r="B142" s="190" t="s">
        <v>330</v>
      </c>
      <c r="C142" s="33" t="s">
        <v>103</v>
      </c>
      <c r="D142" s="192"/>
      <c r="E142" s="192">
        <f>'Realisasi Juni'!G142</f>
        <v>24890055</v>
      </c>
      <c r="F142" s="192">
        <v>1261241</v>
      </c>
      <c r="G142" s="192">
        <f t="shared" ref="G142:G150" si="55">E142+F142</f>
        <v>26151296</v>
      </c>
      <c r="H142" s="24" t="e">
        <f t="shared" si="54"/>
        <v>#DIV/0!</v>
      </c>
      <c r="I142" s="207"/>
      <c r="J142" s="175"/>
    </row>
    <row r="143" spans="1:10" s="176" customFormat="1" x14ac:dyDescent="0.25">
      <c r="A143" s="188"/>
      <c r="B143" s="190" t="s">
        <v>331</v>
      </c>
      <c r="C143" s="33" t="s">
        <v>104</v>
      </c>
      <c r="D143" s="192"/>
      <c r="E143" s="192">
        <f>'Realisasi Juni'!G143</f>
        <v>9845573</v>
      </c>
      <c r="F143" s="192">
        <v>80000</v>
      </c>
      <c r="G143" s="192">
        <f t="shared" si="55"/>
        <v>9925573</v>
      </c>
      <c r="H143" s="24" t="e">
        <f t="shared" si="54"/>
        <v>#DIV/0!</v>
      </c>
      <c r="I143" s="207"/>
      <c r="J143" s="175"/>
    </row>
    <row r="144" spans="1:10" s="176" customFormat="1" x14ac:dyDescent="0.25">
      <c r="A144" s="188"/>
      <c r="B144" s="190" t="s">
        <v>332</v>
      </c>
      <c r="C144" s="33" t="s">
        <v>105</v>
      </c>
      <c r="D144" s="192"/>
      <c r="E144" s="192">
        <f>'Realisasi Juni'!G144</f>
        <v>1408870</v>
      </c>
      <c r="F144" s="192">
        <v>19675</v>
      </c>
      <c r="G144" s="192">
        <f t="shared" si="55"/>
        <v>1428545</v>
      </c>
      <c r="H144" s="24" t="e">
        <f t="shared" si="54"/>
        <v>#DIV/0!</v>
      </c>
      <c r="I144" s="207"/>
      <c r="J144" s="175"/>
    </row>
    <row r="145" spans="1:10" s="176" customFormat="1" x14ac:dyDescent="0.25">
      <c r="A145" s="188"/>
      <c r="B145" s="190" t="s">
        <v>333</v>
      </c>
      <c r="C145" s="33" t="s">
        <v>106</v>
      </c>
      <c r="D145" s="192"/>
      <c r="E145" s="192">
        <f>'Realisasi Juni'!G145</f>
        <v>820929242</v>
      </c>
      <c r="F145" s="192">
        <v>0</v>
      </c>
      <c r="G145" s="192">
        <f t="shared" si="55"/>
        <v>820929242</v>
      </c>
      <c r="H145" s="24" t="e">
        <f t="shared" si="54"/>
        <v>#DIV/0!</v>
      </c>
      <c r="I145" s="207"/>
      <c r="J145" s="175"/>
    </row>
    <row r="146" spans="1:10" s="176" customFormat="1" x14ac:dyDescent="0.25">
      <c r="A146" s="188"/>
      <c r="B146" s="190" t="s">
        <v>334</v>
      </c>
      <c r="C146" s="33" t="s">
        <v>107</v>
      </c>
      <c r="D146" s="192"/>
      <c r="E146" s="192">
        <f>'Realisasi Juni'!G146</f>
        <v>3825597</v>
      </c>
      <c r="F146" s="192">
        <v>147801</v>
      </c>
      <c r="G146" s="192">
        <f t="shared" si="55"/>
        <v>3973398</v>
      </c>
      <c r="H146" s="24" t="e">
        <f t="shared" si="54"/>
        <v>#DIV/0!</v>
      </c>
      <c r="I146" s="207"/>
      <c r="J146" s="175"/>
    </row>
    <row r="147" spans="1:10" s="176" customFormat="1" x14ac:dyDescent="0.25">
      <c r="A147" s="188"/>
      <c r="B147" s="190" t="s">
        <v>335</v>
      </c>
      <c r="C147" s="33" t="s">
        <v>108</v>
      </c>
      <c r="D147" s="192"/>
      <c r="E147" s="192">
        <f>'Realisasi Juni'!G147</f>
        <v>11727313</v>
      </c>
      <c r="F147" s="192">
        <v>0</v>
      </c>
      <c r="G147" s="192">
        <f t="shared" si="55"/>
        <v>11727313</v>
      </c>
      <c r="H147" s="24" t="e">
        <f t="shared" si="54"/>
        <v>#DIV/0!</v>
      </c>
      <c r="I147" s="207"/>
      <c r="J147" s="175"/>
    </row>
    <row r="148" spans="1:10" s="176" customFormat="1" x14ac:dyDescent="0.25">
      <c r="A148" s="188"/>
      <c r="B148" s="190" t="s">
        <v>336</v>
      </c>
      <c r="C148" s="33" t="s">
        <v>109</v>
      </c>
      <c r="D148" s="192"/>
      <c r="E148" s="192">
        <f>'Realisasi Juni'!G148</f>
        <v>1009596</v>
      </c>
      <c r="F148" s="192">
        <v>244714</v>
      </c>
      <c r="G148" s="192">
        <f t="shared" si="55"/>
        <v>1254310</v>
      </c>
      <c r="H148" s="24" t="e">
        <f t="shared" si="54"/>
        <v>#DIV/0!</v>
      </c>
      <c r="I148" s="207"/>
      <c r="J148" s="175"/>
    </row>
    <row r="149" spans="1:10" s="176" customFormat="1" x14ac:dyDescent="0.25">
      <c r="A149" s="188"/>
      <c r="B149" s="190" t="s">
        <v>484</v>
      </c>
      <c r="C149" s="33" t="s">
        <v>482</v>
      </c>
      <c r="D149" s="192"/>
      <c r="E149" s="192">
        <f>'Realisasi Juni'!G149</f>
        <v>0</v>
      </c>
      <c r="F149" s="192"/>
      <c r="G149" s="192">
        <f t="shared" si="55"/>
        <v>0</v>
      </c>
      <c r="H149" s="24"/>
      <c r="I149" s="207"/>
      <c r="J149" s="175"/>
    </row>
    <row r="150" spans="1:10" s="176" customFormat="1" x14ac:dyDescent="0.25">
      <c r="A150" s="188"/>
      <c r="B150" s="190" t="s">
        <v>337</v>
      </c>
      <c r="C150" s="33" t="s">
        <v>110</v>
      </c>
      <c r="D150" s="192"/>
      <c r="E150" s="192">
        <f>'Realisasi Juni'!G150</f>
        <v>300429025</v>
      </c>
      <c r="F150" s="192">
        <v>3991087</v>
      </c>
      <c r="G150" s="192">
        <f t="shared" si="55"/>
        <v>304420112</v>
      </c>
      <c r="H150" s="24" t="e">
        <f>G150/D150</f>
        <v>#DIV/0!</v>
      </c>
      <c r="I150" s="207"/>
      <c r="J150" s="175"/>
    </row>
    <row r="151" spans="1:10" s="176" customFormat="1" x14ac:dyDescent="0.25">
      <c r="A151" s="188"/>
      <c r="B151" s="190" t="s">
        <v>485</v>
      </c>
      <c r="C151" s="33" t="s">
        <v>483</v>
      </c>
      <c r="D151" s="192">
        <v>0</v>
      </c>
      <c r="E151" s="192">
        <f>'Realisasi Juni'!G151</f>
        <v>0</v>
      </c>
      <c r="F151" s="192"/>
      <c r="G151" s="192">
        <f>F151-D151</f>
        <v>0</v>
      </c>
      <c r="H151" s="24" t="e">
        <f>G151/D151</f>
        <v>#DIV/0!</v>
      </c>
      <c r="I151" s="207"/>
      <c r="J151" s="175"/>
    </row>
    <row r="152" spans="1:10" s="176" customFormat="1" x14ac:dyDescent="0.25">
      <c r="A152" s="169"/>
      <c r="B152" s="170"/>
      <c r="C152" s="180"/>
      <c r="D152" s="191"/>
      <c r="E152" s="191"/>
      <c r="F152" s="191"/>
      <c r="G152" s="191"/>
      <c r="H152" s="24"/>
      <c r="I152" s="207"/>
      <c r="J152" s="175"/>
    </row>
    <row r="153" spans="1:10" s="176" customFormat="1" x14ac:dyDescent="0.25">
      <c r="A153" s="168" t="s">
        <v>73</v>
      </c>
      <c r="B153" s="189" t="s">
        <v>327</v>
      </c>
      <c r="C153" s="185" t="s">
        <v>111</v>
      </c>
      <c r="D153" s="191"/>
      <c r="E153" s="191">
        <f>'Realisasi April'!G150</f>
        <v>0</v>
      </c>
      <c r="F153" s="191"/>
      <c r="G153" s="191"/>
      <c r="H153" s="236" t="e">
        <f t="shared" ref="H153" si="56">G153/D153</f>
        <v>#DIV/0!</v>
      </c>
      <c r="I153" s="207"/>
      <c r="J153" s="175"/>
    </row>
    <row r="154" spans="1:10" s="176" customFormat="1" x14ac:dyDescent="0.25">
      <c r="A154" s="169"/>
      <c r="B154" s="170"/>
      <c r="C154" s="185"/>
      <c r="D154" s="191"/>
      <c r="E154" s="191"/>
      <c r="F154" s="191"/>
      <c r="G154" s="191"/>
      <c r="H154" s="236"/>
      <c r="I154" s="207"/>
      <c r="J154" s="175"/>
    </row>
    <row r="155" spans="1:10" s="176" customFormat="1" x14ac:dyDescent="0.25">
      <c r="A155" s="168" t="s">
        <v>74</v>
      </c>
      <c r="B155" s="189" t="s">
        <v>338</v>
      </c>
      <c r="C155" s="34" t="s">
        <v>339</v>
      </c>
      <c r="D155" s="191">
        <f>D156+D159</f>
        <v>0</v>
      </c>
      <c r="E155" s="191">
        <f>E156+E159</f>
        <v>92999715</v>
      </c>
      <c r="F155" s="191">
        <f t="shared" ref="F155:G155" si="57">F156+F159</f>
        <v>828500</v>
      </c>
      <c r="G155" s="191">
        <f t="shared" si="57"/>
        <v>93828215</v>
      </c>
      <c r="H155" s="277" t="e">
        <f>G155/D155</f>
        <v>#DIV/0!</v>
      </c>
      <c r="I155" s="207"/>
      <c r="J155" s="175"/>
    </row>
    <row r="156" spans="1:10" s="176" customFormat="1" x14ac:dyDescent="0.25">
      <c r="A156" s="169"/>
      <c r="B156" s="189" t="s">
        <v>596</v>
      </c>
      <c r="C156" s="180" t="s">
        <v>598</v>
      </c>
      <c r="D156" s="191">
        <f>D157</f>
        <v>0</v>
      </c>
      <c r="E156" s="191">
        <f>E157</f>
        <v>6553200</v>
      </c>
      <c r="F156" s="191">
        <f t="shared" ref="F156:G156" si="58">F157</f>
        <v>0</v>
      </c>
      <c r="G156" s="191">
        <f t="shared" si="58"/>
        <v>6553200</v>
      </c>
      <c r="H156" s="277" t="e">
        <f>G156/D156</f>
        <v>#DIV/0!</v>
      </c>
      <c r="I156" s="207"/>
      <c r="J156" s="175"/>
    </row>
    <row r="157" spans="1:10" s="176" customFormat="1" x14ac:dyDescent="0.25">
      <c r="A157" s="169"/>
      <c r="B157" s="190" t="s">
        <v>597</v>
      </c>
      <c r="C157" s="33" t="s">
        <v>598</v>
      </c>
      <c r="D157" s="192">
        <v>0</v>
      </c>
      <c r="E157" s="192">
        <f>'Realisasi Juni'!G157</f>
        <v>6553200</v>
      </c>
      <c r="F157" s="192">
        <v>0</v>
      </c>
      <c r="G157" s="192">
        <f>E157+F157</f>
        <v>6553200</v>
      </c>
      <c r="H157" s="278" t="e">
        <f>G157/D157</f>
        <v>#DIV/0!</v>
      </c>
      <c r="I157" s="207"/>
      <c r="J157" s="175"/>
    </row>
    <row r="158" spans="1:10" s="176" customFormat="1" x14ac:dyDescent="0.25">
      <c r="A158" s="169"/>
      <c r="B158" s="170"/>
      <c r="C158" s="180"/>
      <c r="D158" s="191"/>
      <c r="E158" s="191"/>
      <c r="F158" s="191"/>
      <c r="G158" s="191"/>
      <c r="H158" s="277"/>
      <c r="I158" s="207"/>
      <c r="J158" s="175"/>
    </row>
    <row r="159" spans="1:10" s="176" customFormat="1" x14ac:dyDescent="0.25">
      <c r="A159" s="169"/>
      <c r="B159" s="189" t="s">
        <v>599</v>
      </c>
      <c r="C159" s="180" t="s">
        <v>601</v>
      </c>
      <c r="D159" s="191">
        <f>D160</f>
        <v>0</v>
      </c>
      <c r="E159" s="191">
        <f>E160</f>
        <v>86446515</v>
      </c>
      <c r="F159" s="191">
        <f t="shared" ref="F159:G159" si="59">F160</f>
        <v>828500</v>
      </c>
      <c r="G159" s="191">
        <f t="shared" si="59"/>
        <v>87275015</v>
      </c>
      <c r="H159" s="277" t="e">
        <f>G159/D159</f>
        <v>#DIV/0!</v>
      </c>
      <c r="I159" s="207"/>
      <c r="J159" s="175"/>
    </row>
    <row r="160" spans="1:10" s="176" customFormat="1" x14ac:dyDescent="0.25">
      <c r="A160" s="169"/>
      <c r="B160" s="190" t="s">
        <v>600</v>
      </c>
      <c r="C160" s="33" t="s">
        <v>601</v>
      </c>
      <c r="D160" s="192">
        <v>0</v>
      </c>
      <c r="E160" s="192">
        <f>'Realisasi Juni'!G160</f>
        <v>86446515</v>
      </c>
      <c r="F160" s="192">
        <v>828500</v>
      </c>
      <c r="G160" s="192">
        <f>E160+F160</f>
        <v>87275015</v>
      </c>
      <c r="H160" s="278" t="e">
        <f>G160/D160</f>
        <v>#DIV/0!</v>
      </c>
      <c r="I160" s="207"/>
      <c r="J160" s="175"/>
    </row>
    <row r="161" spans="1:10" s="176" customFormat="1" x14ac:dyDescent="0.25">
      <c r="A161" s="169"/>
      <c r="B161" s="190"/>
      <c r="C161" s="33"/>
      <c r="D161" s="192"/>
      <c r="E161" s="192"/>
      <c r="F161" s="192"/>
      <c r="G161" s="192"/>
      <c r="H161" s="278"/>
      <c r="I161" s="207"/>
      <c r="J161" s="175"/>
    </row>
    <row r="162" spans="1:10" s="176" customFormat="1" x14ac:dyDescent="0.25">
      <c r="A162" s="168" t="s">
        <v>81</v>
      </c>
      <c r="B162" s="22" t="s">
        <v>306</v>
      </c>
      <c r="C162" s="185" t="s">
        <v>75</v>
      </c>
      <c r="D162" s="196">
        <f>D163</f>
        <v>122100000000</v>
      </c>
      <c r="E162" s="196">
        <f t="shared" ref="E162:G163" si="60">E163</f>
        <v>102348716149</v>
      </c>
      <c r="F162" s="196">
        <f t="shared" si="60"/>
        <v>8700390697</v>
      </c>
      <c r="G162" s="196">
        <f t="shared" si="60"/>
        <v>111049106846</v>
      </c>
      <c r="H162" s="236">
        <f t="shared" ref="H162:H194" si="61">G162/D162</f>
        <v>0.90949309456183458</v>
      </c>
      <c r="I162" s="207" t="s">
        <v>112</v>
      </c>
      <c r="J162" s="175"/>
    </row>
    <row r="163" spans="1:10" s="176" customFormat="1" x14ac:dyDescent="0.25">
      <c r="A163" s="168"/>
      <c r="B163" s="189" t="s">
        <v>340</v>
      </c>
      <c r="C163" s="185" t="s">
        <v>341</v>
      </c>
      <c r="D163" s="196">
        <f>D164</f>
        <v>122100000000</v>
      </c>
      <c r="E163" s="196">
        <f t="shared" si="60"/>
        <v>102348716149</v>
      </c>
      <c r="F163" s="196">
        <f t="shared" si="60"/>
        <v>8700390697</v>
      </c>
      <c r="G163" s="196">
        <f t="shared" si="60"/>
        <v>111049106846</v>
      </c>
      <c r="H163" s="236">
        <f t="shared" si="61"/>
        <v>0.90949309456183458</v>
      </c>
      <c r="I163" s="207"/>
      <c r="J163" s="175"/>
    </row>
    <row r="164" spans="1:10" s="176" customFormat="1" x14ac:dyDescent="0.25">
      <c r="A164" s="188"/>
      <c r="B164" s="178"/>
      <c r="C164" s="185" t="s">
        <v>113</v>
      </c>
      <c r="D164" s="191">
        <f>D165+D172+D178+D181+D185+D188+D191+D194+D198</f>
        <v>122100000000</v>
      </c>
      <c r="E164" s="191">
        <f t="shared" ref="E164:G164" si="62">E165+E172+E178+E181+E185+E188+E191+E194+E198</f>
        <v>102348716149</v>
      </c>
      <c r="F164" s="191">
        <f t="shared" si="62"/>
        <v>8700390697</v>
      </c>
      <c r="G164" s="191">
        <f t="shared" si="62"/>
        <v>111049106846</v>
      </c>
      <c r="H164" s="236">
        <f>G164/D164</f>
        <v>0.90949309456183458</v>
      </c>
      <c r="I164" s="207" t="s">
        <v>114</v>
      </c>
      <c r="J164" s="175"/>
    </row>
    <row r="165" spans="1:10" s="176" customFormat="1" x14ac:dyDescent="0.25">
      <c r="A165" s="188"/>
      <c r="B165" s="178"/>
      <c r="C165" s="35" t="s">
        <v>115</v>
      </c>
      <c r="D165" s="191">
        <f>SUM(D166:D171)</f>
        <v>10327224000</v>
      </c>
      <c r="E165" s="191">
        <f t="shared" ref="E165:G165" si="63">SUM(E166:E171)</f>
        <v>4755538575</v>
      </c>
      <c r="F165" s="191">
        <f t="shared" si="63"/>
        <v>794619250</v>
      </c>
      <c r="G165" s="191">
        <f t="shared" si="63"/>
        <v>5550157825</v>
      </c>
      <c r="H165" s="236">
        <f t="shared" si="61"/>
        <v>0.5374297899416145</v>
      </c>
      <c r="I165" s="207"/>
      <c r="J165" s="175"/>
    </row>
    <row r="166" spans="1:10" s="176" customFormat="1" x14ac:dyDescent="0.25">
      <c r="A166" s="188"/>
      <c r="B166" s="178"/>
      <c r="C166" s="171" t="s">
        <v>116</v>
      </c>
      <c r="D166" s="192">
        <v>794144000</v>
      </c>
      <c r="E166" s="192">
        <f>'Realisasi Juni'!G166</f>
        <v>417668193</v>
      </c>
      <c r="F166" s="192">
        <v>77714939</v>
      </c>
      <c r="G166" s="192">
        <f>E166+F166</f>
        <v>495383132</v>
      </c>
      <c r="H166" s="24">
        <f t="shared" si="61"/>
        <v>0.62379509509610342</v>
      </c>
      <c r="I166" s="207"/>
      <c r="J166" s="175"/>
    </row>
    <row r="167" spans="1:10" s="176" customFormat="1" x14ac:dyDescent="0.25">
      <c r="A167" s="188"/>
      <c r="B167" s="178"/>
      <c r="C167" s="171" t="s">
        <v>117</v>
      </c>
      <c r="D167" s="192">
        <v>1454000000</v>
      </c>
      <c r="E167" s="192">
        <f>'Realisasi Juni'!G167</f>
        <v>856114618</v>
      </c>
      <c r="F167" s="192">
        <v>92184457</v>
      </c>
      <c r="G167" s="192">
        <f t="shared" ref="G167:G171" si="64">E167+F167</f>
        <v>948299075</v>
      </c>
      <c r="H167" s="24">
        <f t="shared" si="61"/>
        <v>0.65220018913342503</v>
      </c>
      <c r="I167" s="207"/>
      <c r="J167" s="175"/>
    </row>
    <row r="168" spans="1:10" s="176" customFormat="1" x14ac:dyDescent="0.25">
      <c r="A168" s="188"/>
      <c r="B168" s="178"/>
      <c r="C168" s="171" t="s">
        <v>118</v>
      </c>
      <c r="D168" s="192">
        <v>4535600000</v>
      </c>
      <c r="E168" s="192">
        <f>'Realisasi Juni'!G168</f>
        <v>1925010084</v>
      </c>
      <c r="F168" s="192">
        <v>352266813</v>
      </c>
      <c r="G168" s="192">
        <f t="shared" si="64"/>
        <v>2277276897</v>
      </c>
      <c r="H168" s="24">
        <f t="shared" si="61"/>
        <v>0.50208944726166327</v>
      </c>
      <c r="I168" s="207"/>
      <c r="J168" s="175"/>
    </row>
    <row r="169" spans="1:10" s="176" customFormat="1" x14ac:dyDescent="0.25">
      <c r="A169" s="188"/>
      <c r="B169" s="178"/>
      <c r="C169" s="171" t="s">
        <v>119</v>
      </c>
      <c r="D169" s="192">
        <v>2388980000</v>
      </c>
      <c r="E169" s="192">
        <f>'Realisasi Juni'!G169</f>
        <v>774916371</v>
      </c>
      <c r="F169" s="192">
        <v>152569168</v>
      </c>
      <c r="G169" s="192">
        <f t="shared" si="64"/>
        <v>927485539</v>
      </c>
      <c r="H169" s="24">
        <f t="shared" si="61"/>
        <v>0.38823495341107922</v>
      </c>
      <c r="I169" s="207"/>
      <c r="J169" s="175"/>
    </row>
    <row r="170" spans="1:10" s="176" customFormat="1" x14ac:dyDescent="0.25">
      <c r="A170" s="188"/>
      <c r="B170" s="178"/>
      <c r="C170" s="171" t="s">
        <v>120</v>
      </c>
      <c r="D170" s="192">
        <v>51200000</v>
      </c>
      <c r="E170" s="192">
        <f>'Realisasi Juni'!G170</f>
        <v>23335000</v>
      </c>
      <c r="F170" s="192">
        <v>2470000</v>
      </c>
      <c r="G170" s="192">
        <f t="shared" si="64"/>
        <v>25805000</v>
      </c>
      <c r="H170" s="24">
        <f t="shared" si="61"/>
        <v>0.50400390625000002</v>
      </c>
      <c r="I170" s="207"/>
      <c r="J170" s="175"/>
    </row>
    <row r="171" spans="1:10" s="176" customFormat="1" x14ac:dyDescent="0.25">
      <c r="A171" s="188"/>
      <c r="B171" s="178"/>
      <c r="C171" s="171" t="s">
        <v>121</v>
      </c>
      <c r="D171" s="192">
        <v>1103300000</v>
      </c>
      <c r="E171" s="192">
        <f>'Realisasi Juni'!G171</f>
        <v>758494309</v>
      </c>
      <c r="F171" s="192">
        <v>117413873</v>
      </c>
      <c r="G171" s="192">
        <f t="shared" si="64"/>
        <v>875908182</v>
      </c>
      <c r="H171" s="24">
        <f t="shared" si="61"/>
        <v>0.79389847004441216</v>
      </c>
      <c r="I171" s="207"/>
      <c r="J171" s="175"/>
    </row>
    <row r="172" spans="1:10" s="176" customFormat="1" x14ac:dyDescent="0.25">
      <c r="A172" s="188"/>
      <c r="B172" s="178"/>
      <c r="C172" s="185" t="s">
        <v>122</v>
      </c>
      <c r="D172" s="191">
        <f>SUM(D173:D177)</f>
        <v>71738434000</v>
      </c>
      <c r="E172" s="191">
        <f t="shared" ref="E172:G172" si="65">SUM(E173:E177)</f>
        <v>31985522617</v>
      </c>
      <c r="F172" s="191">
        <f t="shared" si="65"/>
        <v>6726045367</v>
      </c>
      <c r="G172" s="191">
        <f t="shared" si="65"/>
        <v>38711567984</v>
      </c>
      <c r="H172" s="236">
        <f t="shared" si="61"/>
        <v>0.53962103471620249</v>
      </c>
      <c r="I172" s="207"/>
      <c r="J172" s="175"/>
    </row>
    <row r="173" spans="1:10" s="176" customFormat="1" x14ac:dyDescent="0.25">
      <c r="A173" s="188"/>
      <c r="B173" s="178"/>
      <c r="C173" s="171" t="s">
        <v>117</v>
      </c>
      <c r="D173" s="192">
        <v>19459500000</v>
      </c>
      <c r="E173" s="192">
        <f>'Realisasi Juni'!G173</f>
        <v>10514419200</v>
      </c>
      <c r="F173" s="192">
        <v>1879359000</v>
      </c>
      <c r="G173" s="192">
        <f>E173+F173</f>
        <v>12393778200</v>
      </c>
      <c r="H173" s="24">
        <f t="shared" si="61"/>
        <v>0.63690116395590846</v>
      </c>
      <c r="I173" s="207"/>
      <c r="J173" s="175"/>
    </row>
    <row r="174" spans="1:10" s="176" customFormat="1" x14ac:dyDescent="0.25">
      <c r="A174" s="188"/>
      <c r="B174" s="178"/>
      <c r="C174" s="171" t="s">
        <v>118</v>
      </c>
      <c r="D174" s="192">
        <v>49831374000</v>
      </c>
      <c r="E174" s="192">
        <f>'Realisasi Juni'!G174</f>
        <v>19825758170</v>
      </c>
      <c r="F174" s="192">
        <v>4411255400</v>
      </c>
      <c r="G174" s="192">
        <f t="shared" ref="G174:G177" si="66">E174+F174</f>
        <v>24237013570</v>
      </c>
      <c r="H174" s="24">
        <f t="shared" si="61"/>
        <v>0.48638059970010056</v>
      </c>
      <c r="I174" s="207"/>
      <c r="J174" s="175"/>
    </row>
    <row r="175" spans="1:10" s="176" customFormat="1" x14ac:dyDescent="0.25">
      <c r="A175" s="188"/>
      <c r="B175" s="178"/>
      <c r="C175" s="171" t="s">
        <v>123</v>
      </c>
      <c r="D175" s="192">
        <v>227620000</v>
      </c>
      <c r="E175" s="192">
        <f>'Realisasi Juni'!G175</f>
        <v>188250000</v>
      </c>
      <c r="F175" s="192">
        <v>30000000</v>
      </c>
      <c r="G175" s="192">
        <f t="shared" si="66"/>
        <v>218250000</v>
      </c>
      <c r="H175" s="24">
        <f t="shared" si="61"/>
        <v>0.95883490027238383</v>
      </c>
      <c r="I175" s="207"/>
      <c r="J175" s="175"/>
    </row>
    <row r="176" spans="1:10" s="176" customFormat="1" x14ac:dyDescent="0.25">
      <c r="A176" s="188"/>
      <c r="B176" s="178"/>
      <c r="C176" s="171" t="s">
        <v>124</v>
      </c>
      <c r="D176" s="192">
        <v>2087340000</v>
      </c>
      <c r="E176" s="192">
        <f>'Realisasi Juni'!G176</f>
        <v>1353987047</v>
      </c>
      <c r="F176" s="192">
        <v>405430967</v>
      </c>
      <c r="G176" s="192">
        <f t="shared" si="66"/>
        <v>1759418014</v>
      </c>
      <c r="H176" s="24">
        <f t="shared" si="61"/>
        <v>0.84289958224342942</v>
      </c>
      <c r="I176" s="207"/>
      <c r="J176" s="175"/>
    </row>
    <row r="177" spans="1:10" s="176" customFormat="1" x14ac:dyDescent="0.25">
      <c r="A177" s="188"/>
      <c r="B177" s="178"/>
      <c r="C177" s="171" t="s">
        <v>120</v>
      </c>
      <c r="D177" s="192">
        <v>132600000</v>
      </c>
      <c r="E177" s="192">
        <f>'Realisasi Juni'!G177</f>
        <v>103108200</v>
      </c>
      <c r="F177" s="192">
        <v>0</v>
      </c>
      <c r="G177" s="192">
        <f t="shared" si="66"/>
        <v>103108200</v>
      </c>
      <c r="H177" s="24">
        <f t="shared" si="61"/>
        <v>0.77758823529411769</v>
      </c>
      <c r="I177" s="207"/>
      <c r="J177" s="175"/>
    </row>
    <row r="178" spans="1:10" s="176" customFormat="1" x14ac:dyDescent="0.25">
      <c r="A178" s="188"/>
      <c r="B178" s="178"/>
      <c r="C178" s="185" t="s">
        <v>125</v>
      </c>
      <c r="D178" s="191">
        <f>SUM(D179:D180)</f>
        <v>31531500000</v>
      </c>
      <c r="E178" s="191">
        <f t="shared" ref="E178:G178" si="67">SUM(E179:E180)</f>
        <v>61739015800</v>
      </c>
      <c r="F178" s="191">
        <f t="shared" si="67"/>
        <v>633253800</v>
      </c>
      <c r="G178" s="191">
        <f t="shared" si="67"/>
        <v>62372269600</v>
      </c>
      <c r="H178" s="236">
        <f t="shared" si="61"/>
        <v>1.9780939568368139</v>
      </c>
      <c r="I178" s="207"/>
      <c r="J178" s="175"/>
    </row>
    <row r="179" spans="1:10" s="176" customFormat="1" x14ac:dyDescent="0.25">
      <c r="A179" s="188"/>
      <c r="B179" s="178"/>
      <c r="C179" s="171" t="s">
        <v>117</v>
      </c>
      <c r="D179" s="192">
        <v>31500000</v>
      </c>
      <c r="E179" s="192">
        <f>'Realisasi Juni'!G179</f>
        <v>89200600</v>
      </c>
      <c r="F179" s="192"/>
      <c r="G179" s="192">
        <f>E179+F179</f>
        <v>89200600</v>
      </c>
      <c r="H179" s="24">
        <f t="shared" si="61"/>
        <v>2.8317650793650793</v>
      </c>
      <c r="I179" s="207"/>
      <c r="J179" s="175"/>
    </row>
    <row r="180" spans="1:10" s="176" customFormat="1" x14ac:dyDescent="0.25">
      <c r="A180" s="188"/>
      <c r="B180" s="178"/>
      <c r="C180" s="171" t="s">
        <v>118</v>
      </c>
      <c r="D180" s="192">
        <v>31500000000</v>
      </c>
      <c r="E180" s="192">
        <f>'Realisasi Juni'!G180</f>
        <v>61649815200</v>
      </c>
      <c r="F180" s="192">
        <v>633253800</v>
      </c>
      <c r="G180" s="192">
        <f>E180+F180</f>
        <v>62283069000</v>
      </c>
      <c r="H180" s="24">
        <f t="shared" si="61"/>
        <v>1.9772402857142857</v>
      </c>
      <c r="I180" s="207"/>
      <c r="J180" s="175"/>
    </row>
    <row r="181" spans="1:10" s="176" customFormat="1" x14ac:dyDescent="0.25">
      <c r="A181" s="188"/>
      <c r="B181" s="178"/>
      <c r="C181" s="185" t="s">
        <v>126</v>
      </c>
      <c r="D181" s="191">
        <f>SUM(D182:D184)</f>
        <v>3381016000</v>
      </c>
      <c r="E181" s="191">
        <f t="shared" ref="E181:G181" si="68">SUM(E182:E184)</f>
        <v>2256159389</v>
      </c>
      <c r="F181" s="191">
        <f t="shared" si="68"/>
        <v>504151302</v>
      </c>
      <c r="G181" s="191">
        <f t="shared" si="68"/>
        <v>2760310691</v>
      </c>
      <c r="H181" s="236">
        <f t="shared" si="61"/>
        <v>0.81641456029785131</v>
      </c>
      <c r="I181" s="207"/>
      <c r="J181" s="175"/>
    </row>
    <row r="182" spans="1:10" s="176" customFormat="1" x14ac:dyDescent="0.25">
      <c r="A182" s="188"/>
      <c r="B182" s="178"/>
      <c r="C182" s="171" t="s">
        <v>117</v>
      </c>
      <c r="D182" s="192">
        <v>644736000</v>
      </c>
      <c r="E182" s="192">
        <f>'Realisasi Juni'!G182</f>
        <v>294911414</v>
      </c>
      <c r="F182" s="192">
        <v>101402646</v>
      </c>
      <c r="G182" s="192">
        <f>E182+F182</f>
        <v>396314060</v>
      </c>
      <c r="H182" s="24">
        <f t="shared" si="61"/>
        <v>0.61469199796505858</v>
      </c>
      <c r="I182" s="207" t="s">
        <v>127</v>
      </c>
      <c r="J182" s="175"/>
    </row>
    <row r="183" spans="1:10" s="176" customFormat="1" x14ac:dyDescent="0.25">
      <c r="A183" s="188"/>
      <c r="B183" s="178"/>
      <c r="C183" s="171" t="s">
        <v>118</v>
      </c>
      <c r="D183" s="192">
        <v>2080780000</v>
      </c>
      <c r="E183" s="192">
        <f>'Realisasi Juni'!G183</f>
        <v>1584717264</v>
      </c>
      <c r="F183" s="192">
        <v>334776829</v>
      </c>
      <c r="G183" s="192">
        <f t="shared" ref="G183:G184" si="69">E183+F183</f>
        <v>1919494093</v>
      </c>
      <c r="H183" s="24">
        <f t="shared" si="61"/>
        <v>0.92248776564557522</v>
      </c>
      <c r="I183" s="207"/>
      <c r="J183" s="175"/>
    </row>
    <row r="184" spans="1:10" s="176" customFormat="1" x14ac:dyDescent="0.25">
      <c r="A184" s="188"/>
      <c r="B184" s="178"/>
      <c r="C184" s="171" t="s">
        <v>128</v>
      </c>
      <c r="D184" s="192">
        <v>655500000</v>
      </c>
      <c r="E184" s="192">
        <f>'Realisasi Juni'!G184</f>
        <v>376530711</v>
      </c>
      <c r="F184" s="192">
        <v>67971827</v>
      </c>
      <c r="G184" s="192">
        <f t="shared" si="69"/>
        <v>444502538</v>
      </c>
      <c r="H184" s="24">
        <f t="shared" si="61"/>
        <v>0.6781121861174676</v>
      </c>
      <c r="I184" s="207"/>
      <c r="J184" s="175"/>
    </row>
    <row r="185" spans="1:10" s="176" customFormat="1" x14ac:dyDescent="0.25">
      <c r="A185" s="169"/>
      <c r="B185" s="178"/>
      <c r="C185" s="185" t="s">
        <v>129</v>
      </c>
      <c r="D185" s="191">
        <f>SUM(D186:D187)</f>
        <v>3861588000</v>
      </c>
      <c r="E185" s="191">
        <f t="shared" ref="E185:G185" si="70">SUM(E186:E187)</f>
        <v>784783443</v>
      </c>
      <c r="F185" s="191">
        <f t="shared" si="70"/>
        <v>0</v>
      </c>
      <c r="G185" s="191">
        <f t="shared" si="70"/>
        <v>784783443</v>
      </c>
      <c r="H185" s="236">
        <f t="shared" si="61"/>
        <v>0.20322816494146967</v>
      </c>
      <c r="I185" s="207"/>
      <c r="J185" s="175"/>
    </row>
    <row r="186" spans="1:10" s="176" customFormat="1" x14ac:dyDescent="0.25">
      <c r="A186" s="188"/>
      <c r="B186" s="178"/>
      <c r="C186" s="171" t="s">
        <v>117</v>
      </c>
      <c r="D186" s="192">
        <v>60588000</v>
      </c>
      <c r="E186" s="192">
        <f>'Realisasi Juni'!G186</f>
        <v>121477456</v>
      </c>
      <c r="F186" s="192">
        <v>0</v>
      </c>
      <c r="G186" s="192">
        <f>E186+F186</f>
        <v>121477456</v>
      </c>
      <c r="H186" s="24">
        <f t="shared" si="61"/>
        <v>2.0049755067009971</v>
      </c>
      <c r="I186" s="207"/>
      <c r="J186" s="175"/>
    </row>
    <row r="187" spans="1:10" s="176" customFormat="1" x14ac:dyDescent="0.25">
      <c r="A187" s="188"/>
      <c r="B187" s="178"/>
      <c r="C187" s="171" t="s">
        <v>118</v>
      </c>
      <c r="D187" s="192">
        <v>3801000000</v>
      </c>
      <c r="E187" s="192">
        <f>'Realisasi Juni'!G187</f>
        <v>663305987</v>
      </c>
      <c r="F187" s="192">
        <v>0</v>
      </c>
      <c r="G187" s="192">
        <f>E187+F187</f>
        <v>663305987</v>
      </c>
      <c r="H187" s="24">
        <f t="shared" si="61"/>
        <v>0.17450828387266509</v>
      </c>
      <c r="I187" s="207"/>
      <c r="J187" s="175"/>
    </row>
    <row r="188" spans="1:10" s="176" customFormat="1" x14ac:dyDescent="0.25">
      <c r="A188" s="188"/>
      <c r="B188" s="178"/>
      <c r="C188" s="185" t="s">
        <v>130</v>
      </c>
      <c r="D188" s="191">
        <f>SUM(D189:D190)</f>
        <v>249113200</v>
      </c>
      <c r="E188" s="191">
        <f t="shared" ref="E188:G188" si="71">SUM(E189:E190)</f>
        <v>0</v>
      </c>
      <c r="F188" s="191">
        <f t="shared" si="71"/>
        <v>0</v>
      </c>
      <c r="G188" s="191">
        <f t="shared" si="71"/>
        <v>0</v>
      </c>
      <c r="H188" s="236">
        <f t="shared" si="61"/>
        <v>0</v>
      </c>
      <c r="I188" s="207"/>
      <c r="J188" s="175"/>
    </row>
    <row r="189" spans="1:10" s="176" customFormat="1" x14ac:dyDescent="0.25">
      <c r="A189" s="188"/>
      <c r="B189" s="178"/>
      <c r="C189" s="171" t="s">
        <v>117</v>
      </c>
      <c r="D189" s="192">
        <v>554500</v>
      </c>
      <c r="E189" s="192">
        <f>'Realisasi Juni'!G189</f>
        <v>0</v>
      </c>
      <c r="F189" s="192"/>
      <c r="G189" s="192">
        <f>E189+F189</f>
        <v>0</v>
      </c>
      <c r="H189" s="24">
        <f t="shared" si="61"/>
        <v>0</v>
      </c>
      <c r="I189" s="207"/>
      <c r="J189" s="175"/>
    </row>
    <row r="190" spans="1:10" s="176" customFormat="1" x14ac:dyDescent="0.25">
      <c r="A190" s="188"/>
      <c r="B190" s="178"/>
      <c r="C190" s="171" t="s">
        <v>118</v>
      </c>
      <c r="D190" s="192">
        <v>248558700</v>
      </c>
      <c r="E190" s="192">
        <f>'Realisasi Juni'!G190</f>
        <v>0</v>
      </c>
      <c r="F190" s="192"/>
      <c r="G190" s="192">
        <f>E190+F190</f>
        <v>0</v>
      </c>
      <c r="H190" s="24">
        <f t="shared" si="61"/>
        <v>0</v>
      </c>
      <c r="I190" s="207"/>
      <c r="J190" s="175"/>
    </row>
    <row r="191" spans="1:10" s="176" customFormat="1" x14ac:dyDescent="0.25">
      <c r="A191" s="188"/>
      <c r="B191" s="178"/>
      <c r="C191" s="185" t="s">
        <v>131</v>
      </c>
      <c r="D191" s="191">
        <f>SUM(D192:D193)</f>
        <v>90525000</v>
      </c>
      <c r="E191" s="191">
        <f t="shared" ref="E191:G191" si="72">SUM(E192:E193)</f>
        <v>309809211</v>
      </c>
      <c r="F191" s="191">
        <f t="shared" si="72"/>
        <v>0</v>
      </c>
      <c r="G191" s="191">
        <f t="shared" si="72"/>
        <v>309809211</v>
      </c>
      <c r="H191" s="236">
        <f t="shared" si="61"/>
        <v>3.4223607953603978</v>
      </c>
      <c r="I191" s="207"/>
      <c r="J191" s="175"/>
    </row>
    <row r="192" spans="1:10" s="176" customFormat="1" x14ac:dyDescent="0.25">
      <c r="A192" s="188"/>
      <c r="B192" s="178"/>
      <c r="C192" s="171" t="s">
        <v>117</v>
      </c>
      <c r="D192" s="192">
        <v>525000</v>
      </c>
      <c r="E192" s="192">
        <f>'Realisasi Juni'!G192</f>
        <v>3549441</v>
      </c>
      <c r="F192" s="192"/>
      <c r="G192" s="192">
        <f>E192+F192</f>
        <v>3549441</v>
      </c>
      <c r="H192" s="24">
        <f t="shared" si="61"/>
        <v>6.76084</v>
      </c>
      <c r="I192" s="207"/>
      <c r="J192" s="175"/>
    </row>
    <row r="193" spans="1:12" s="176" customFormat="1" x14ac:dyDescent="0.25">
      <c r="A193" s="188"/>
      <c r="B193" s="178"/>
      <c r="C193" s="171" t="s">
        <v>118</v>
      </c>
      <c r="D193" s="192">
        <v>90000000</v>
      </c>
      <c r="E193" s="192">
        <f>'Realisasi Juni'!G193</f>
        <v>306259770</v>
      </c>
      <c r="F193" s="192"/>
      <c r="G193" s="192">
        <f>E193+F193</f>
        <v>306259770</v>
      </c>
      <c r="H193" s="24">
        <f t="shared" si="61"/>
        <v>3.4028863333333335</v>
      </c>
      <c r="I193" s="207"/>
      <c r="J193" s="175"/>
    </row>
    <row r="194" spans="1:12" s="176" customFormat="1" x14ac:dyDescent="0.25">
      <c r="A194" s="188"/>
      <c r="B194" s="178"/>
      <c r="C194" s="185" t="s">
        <v>132</v>
      </c>
      <c r="D194" s="191">
        <f>SUM(D195:D197)</f>
        <v>732799800</v>
      </c>
      <c r="E194" s="191">
        <f t="shared" ref="E194:G194" si="73">SUM(E195:E197)</f>
        <v>339070000</v>
      </c>
      <c r="F194" s="191">
        <f t="shared" si="73"/>
        <v>20950000</v>
      </c>
      <c r="G194" s="191">
        <f t="shared" si="73"/>
        <v>360020000</v>
      </c>
      <c r="H194" s="236">
        <f t="shared" si="61"/>
        <v>0.49129380220900715</v>
      </c>
      <c r="I194" s="207"/>
      <c r="J194" s="175"/>
    </row>
    <row r="195" spans="1:12" s="176" customFormat="1" x14ac:dyDescent="0.25">
      <c r="A195" s="188"/>
      <c r="B195" s="178"/>
      <c r="C195" s="171" t="s">
        <v>133</v>
      </c>
      <c r="D195" s="192">
        <v>0</v>
      </c>
      <c r="E195" s="192">
        <f>'Realisasi Juni'!G195</f>
        <v>0</v>
      </c>
      <c r="F195" s="192">
        <v>0</v>
      </c>
      <c r="G195" s="192">
        <f>E195+F195</f>
        <v>0</v>
      </c>
      <c r="H195" s="24"/>
      <c r="I195" s="207"/>
      <c r="J195" s="175"/>
    </row>
    <row r="196" spans="1:12" s="176" customFormat="1" x14ac:dyDescent="0.25">
      <c r="A196" s="188"/>
      <c r="B196" s="178"/>
      <c r="C196" s="171" t="s">
        <v>134</v>
      </c>
      <c r="D196" s="192">
        <v>28000000</v>
      </c>
      <c r="E196" s="192">
        <f>'Realisasi Juni'!G196</f>
        <v>46400000</v>
      </c>
      <c r="F196" s="192">
        <v>16600000</v>
      </c>
      <c r="G196" s="192">
        <f t="shared" ref="G196:G197" si="74">E196+F196</f>
        <v>63000000</v>
      </c>
      <c r="H196" s="24">
        <f>G196/D196</f>
        <v>2.25</v>
      </c>
      <c r="I196" s="207" t="s">
        <v>135</v>
      </c>
      <c r="J196" s="175"/>
    </row>
    <row r="197" spans="1:12" s="176" customFormat="1" x14ac:dyDescent="0.25">
      <c r="A197" s="188"/>
      <c r="B197" s="178"/>
      <c r="C197" s="171" t="s">
        <v>136</v>
      </c>
      <c r="D197" s="192">
        <v>704799800</v>
      </c>
      <c r="E197" s="192">
        <f>'Realisasi Juni'!G197</f>
        <v>292670000</v>
      </c>
      <c r="F197" s="192">
        <v>4350000</v>
      </c>
      <c r="G197" s="192">
        <f t="shared" si="74"/>
        <v>297020000</v>
      </c>
      <c r="H197" s="24">
        <f>G197/D197</f>
        <v>0.42142463718065754</v>
      </c>
      <c r="I197" s="207"/>
      <c r="J197" s="175"/>
    </row>
    <row r="198" spans="1:12" s="176" customFormat="1" x14ac:dyDescent="0.25">
      <c r="A198" s="188"/>
      <c r="B198" s="178"/>
      <c r="C198" s="185" t="s">
        <v>137</v>
      </c>
      <c r="D198" s="191">
        <f>SUM(D199:D200)</f>
        <v>187800000</v>
      </c>
      <c r="E198" s="191">
        <f t="shared" ref="E198:G198" si="75">SUM(E199:E200)</f>
        <v>178817114</v>
      </c>
      <c r="F198" s="191">
        <f t="shared" si="75"/>
        <v>21370978</v>
      </c>
      <c r="G198" s="191">
        <f t="shared" si="75"/>
        <v>200188092</v>
      </c>
      <c r="H198" s="236">
        <f>G198/D198</f>
        <v>1.0659642811501597</v>
      </c>
      <c r="I198" s="207"/>
      <c r="J198" s="175"/>
    </row>
    <row r="199" spans="1:12" s="176" customFormat="1" x14ac:dyDescent="0.25">
      <c r="A199" s="188"/>
      <c r="B199" s="178"/>
      <c r="C199" s="171" t="s">
        <v>138</v>
      </c>
      <c r="D199" s="192">
        <v>133800000</v>
      </c>
      <c r="E199" s="192">
        <f>'Realisasi Juni'!G199</f>
        <v>178817114</v>
      </c>
      <c r="F199" s="192">
        <v>21370978</v>
      </c>
      <c r="G199" s="192">
        <f>E199+F199</f>
        <v>200188092</v>
      </c>
      <c r="H199" s="24">
        <f>G199/D199</f>
        <v>1.4961740807174888</v>
      </c>
      <c r="I199" s="207" t="s">
        <v>139</v>
      </c>
      <c r="J199" s="175"/>
    </row>
    <row r="200" spans="1:12" s="176" customFormat="1" x14ac:dyDescent="0.25">
      <c r="A200" s="188"/>
      <c r="B200" s="178"/>
      <c r="C200" s="171" t="s">
        <v>140</v>
      </c>
      <c r="D200" s="192">
        <v>54000000</v>
      </c>
      <c r="E200" s="192">
        <f>'Realisasi Juni'!G200</f>
        <v>0</v>
      </c>
      <c r="F200" s="192"/>
      <c r="G200" s="192">
        <f>E200+F200</f>
        <v>0</v>
      </c>
      <c r="H200" s="24">
        <f>G200/D200</f>
        <v>0</v>
      </c>
      <c r="I200" s="207"/>
      <c r="J200" s="175"/>
    </row>
    <row r="201" spans="1:12" s="176" customFormat="1" x14ac:dyDescent="0.25">
      <c r="A201" s="188"/>
      <c r="B201" s="178"/>
      <c r="C201" s="171"/>
      <c r="D201" s="192"/>
      <c r="E201" s="192"/>
      <c r="F201" s="192"/>
      <c r="G201" s="191"/>
      <c r="H201" s="236"/>
      <c r="I201" s="207"/>
      <c r="J201" s="175"/>
    </row>
    <row r="202" spans="1:12" s="176" customFormat="1" x14ac:dyDescent="0.25">
      <c r="A202" s="168" t="s">
        <v>452</v>
      </c>
      <c r="B202" s="22" t="s">
        <v>306</v>
      </c>
      <c r="C202" s="185" t="s">
        <v>75</v>
      </c>
      <c r="D202" s="191">
        <f>SUM(D203)</f>
        <v>14496560466</v>
      </c>
      <c r="E202" s="191">
        <f t="shared" ref="E202:G202" si="76">SUM(E203)</f>
        <v>6697763960.0099993</v>
      </c>
      <c r="F202" s="191">
        <f t="shared" si="76"/>
        <v>1187483954.29</v>
      </c>
      <c r="G202" s="191">
        <f t="shared" si="76"/>
        <v>7885247914.3000002</v>
      </c>
      <c r="H202" s="236">
        <f t="shared" ref="H202:H214" si="77">G202/D202</f>
        <v>0.54393922839793163</v>
      </c>
      <c r="I202" s="207" t="s">
        <v>141</v>
      </c>
      <c r="J202" s="175"/>
    </row>
    <row r="203" spans="1:12" s="176" customFormat="1" x14ac:dyDescent="0.25">
      <c r="A203" s="188"/>
      <c r="B203" s="189" t="s">
        <v>340</v>
      </c>
      <c r="C203" s="185" t="s">
        <v>341</v>
      </c>
      <c r="D203" s="191">
        <f>D204</f>
        <v>14496560466</v>
      </c>
      <c r="E203" s="191">
        <f>E204</f>
        <v>6697763960.0099993</v>
      </c>
      <c r="F203" s="191">
        <f t="shared" ref="F203:G203" si="78">F204</f>
        <v>1187483954.29</v>
      </c>
      <c r="G203" s="191">
        <f t="shared" si="78"/>
        <v>7885247914.3000002</v>
      </c>
      <c r="H203" s="236">
        <f t="shared" si="77"/>
        <v>0.54393922839793163</v>
      </c>
      <c r="I203" s="207" t="s">
        <v>143</v>
      </c>
      <c r="J203" s="294"/>
      <c r="K203" s="295"/>
      <c r="L203" s="295"/>
    </row>
    <row r="204" spans="1:12" s="176" customFormat="1" x14ac:dyDescent="0.25">
      <c r="A204" s="188"/>
      <c r="B204" s="178"/>
      <c r="C204" s="172" t="s">
        <v>142</v>
      </c>
      <c r="D204" s="191">
        <f>SUM(D205:D214)</f>
        <v>14496560466</v>
      </c>
      <c r="E204" s="191">
        <f>SUM(E205:E214)</f>
        <v>6697763960.0099993</v>
      </c>
      <c r="F204" s="191">
        <f t="shared" ref="F204:G204" si="79">SUM(F205:F214)</f>
        <v>1187483954.29</v>
      </c>
      <c r="G204" s="191">
        <f t="shared" si="79"/>
        <v>7885247914.3000002</v>
      </c>
      <c r="H204" s="236">
        <f t="shared" si="77"/>
        <v>0.54393922839793163</v>
      </c>
      <c r="I204" s="207"/>
      <c r="J204" s="294"/>
      <c r="K204" s="295"/>
      <c r="L204" s="295"/>
    </row>
    <row r="205" spans="1:12" s="176" customFormat="1" x14ac:dyDescent="0.25">
      <c r="A205" s="188"/>
      <c r="B205" s="178"/>
      <c r="C205" s="171" t="s">
        <v>144</v>
      </c>
      <c r="D205" s="192">
        <v>1873243500</v>
      </c>
      <c r="E205" s="192">
        <f>'Realisasi Juni'!G205</f>
        <v>770184753</v>
      </c>
      <c r="F205" s="192">
        <v>144758859.78</v>
      </c>
      <c r="G205" s="192">
        <f>E205+F205</f>
        <v>914943612.77999997</v>
      </c>
      <c r="H205" s="24">
        <f t="shared" si="77"/>
        <v>0.48842748568458932</v>
      </c>
      <c r="I205" s="207" t="s">
        <v>145</v>
      </c>
      <c r="J205" s="294"/>
      <c r="K205" s="296"/>
      <c r="L205" s="295"/>
    </row>
    <row r="206" spans="1:12" s="176" customFormat="1" x14ac:dyDescent="0.25">
      <c r="A206" s="188"/>
      <c r="B206" s="178"/>
      <c r="C206" s="171" t="s">
        <v>146</v>
      </c>
      <c r="D206" s="192">
        <v>1100000000</v>
      </c>
      <c r="E206" s="192">
        <f>'Realisasi Juni'!G206</f>
        <v>484596447.32999998</v>
      </c>
      <c r="F206" s="192">
        <v>90351657.230000004</v>
      </c>
      <c r="G206" s="192">
        <f t="shared" ref="G206:G214" si="80">E206+F206</f>
        <v>574948104.55999994</v>
      </c>
      <c r="H206" s="24">
        <f t="shared" si="77"/>
        <v>0.52268009505454538</v>
      </c>
      <c r="I206" s="207"/>
      <c r="J206" s="294"/>
      <c r="K206" s="296"/>
      <c r="L206" s="295"/>
    </row>
    <row r="207" spans="1:12" s="176" customFormat="1" x14ac:dyDescent="0.25">
      <c r="A207" s="188"/>
      <c r="B207" s="178"/>
      <c r="C207" s="171" t="s">
        <v>147</v>
      </c>
      <c r="D207" s="192">
        <v>1400000000</v>
      </c>
      <c r="E207" s="192">
        <f>'Realisasi Juni'!G207</f>
        <v>596897060.90999997</v>
      </c>
      <c r="F207" s="192">
        <v>127395382.78</v>
      </c>
      <c r="G207" s="192">
        <f t="shared" si="80"/>
        <v>724292443.68999994</v>
      </c>
      <c r="H207" s="24">
        <f t="shared" si="77"/>
        <v>0.51735174549285712</v>
      </c>
      <c r="I207" s="207" t="s">
        <v>148</v>
      </c>
      <c r="J207" s="294"/>
      <c r="K207" s="296"/>
      <c r="L207" s="295"/>
    </row>
    <row r="208" spans="1:12" s="176" customFormat="1" x14ac:dyDescent="0.25">
      <c r="A208" s="188"/>
      <c r="B208" s="178"/>
      <c r="C208" s="171" t="s">
        <v>149</v>
      </c>
      <c r="D208" s="192">
        <v>2361598960</v>
      </c>
      <c r="E208" s="192">
        <f>'Realisasi Juni'!G208</f>
        <v>1104967933.6800001</v>
      </c>
      <c r="F208" s="192">
        <v>188618526.21000001</v>
      </c>
      <c r="G208" s="192">
        <f t="shared" si="80"/>
        <v>1293586459.8900001</v>
      </c>
      <c r="H208" s="24">
        <f t="shared" si="77"/>
        <v>0.54775873541627917</v>
      </c>
      <c r="I208" s="207" t="s">
        <v>150</v>
      </c>
      <c r="J208" s="294"/>
      <c r="K208" s="296"/>
      <c r="L208" s="295"/>
    </row>
    <row r="209" spans="1:12" s="176" customFormat="1" x14ac:dyDescent="0.25">
      <c r="A209" s="188"/>
      <c r="B209" s="178"/>
      <c r="C209" s="171" t="s">
        <v>151</v>
      </c>
      <c r="D209" s="192">
        <v>922500000</v>
      </c>
      <c r="E209" s="192">
        <f>'Realisasi Juni'!G209</f>
        <v>443783945.69</v>
      </c>
      <c r="F209" s="181">
        <v>75941864.480000004</v>
      </c>
      <c r="G209" s="192">
        <f t="shared" si="80"/>
        <v>519725810.17000002</v>
      </c>
      <c r="H209" s="24">
        <f t="shared" si="77"/>
        <v>0.56338841210840107</v>
      </c>
      <c r="I209" s="207" t="s">
        <v>152</v>
      </c>
      <c r="J209" s="294"/>
      <c r="K209" s="296"/>
      <c r="L209" s="295"/>
    </row>
    <row r="210" spans="1:12" s="176" customFormat="1" x14ac:dyDescent="0.25">
      <c r="A210" s="188"/>
      <c r="B210" s="178"/>
      <c r="C210" s="171" t="s">
        <v>153</v>
      </c>
      <c r="D210" s="192">
        <v>1105404000</v>
      </c>
      <c r="E210" s="192">
        <f>'Realisasi Juni'!G210</f>
        <v>554064815.63999999</v>
      </c>
      <c r="F210" s="192">
        <v>88011194.260000005</v>
      </c>
      <c r="G210" s="192">
        <f t="shared" si="80"/>
        <v>642076009.89999998</v>
      </c>
      <c r="H210" s="24">
        <f t="shared" si="77"/>
        <v>0.58085189659165337</v>
      </c>
      <c r="I210" s="207"/>
      <c r="J210" s="294"/>
      <c r="K210" s="296"/>
      <c r="L210" s="295"/>
    </row>
    <row r="211" spans="1:12" s="176" customFormat="1" x14ac:dyDescent="0.25">
      <c r="A211" s="188"/>
      <c r="B211" s="178"/>
      <c r="C211" s="171" t="s">
        <v>154</v>
      </c>
      <c r="D211" s="192">
        <v>551536356</v>
      </c>
      <c r="E211" s="192">
        <f>'Realisasi Juni'!G211</f>
        <v>300209582.94000006</v>
      </c>
      <c r="F211" s="181">
        <v>49680240.520000003</v>
      </c>
      <c r="G211" s="192">
        <f t="shared" si="80"/>
        <v>349889823.46000004</v>
      </c>
      <c r="H211" s="24">
        <f t="shared" si="77"/>
        <v>0.63439122308738616</v>
      </c>
      <c r="I211" s="207" t="s">
        <v>155</v>
      </c>
      <c r="J211" s="294"/>
      <c r="K211" s="296"/>
      <c r="L211" s="295"/>
    </row>
    <row r="212" spans="1:12" s="176" customFormat="1" x14ac:dyDescent="0.25">
      <c r="A212" s="188"/>
      <c r="B212" s="178"/>
      <c r="C212" s="171" t="s">
        <v>156</v>
      </c>
      <c r="D212" s="192">
        <v>2380000000</v>
      </c>
      <c r="E212" s="192">
        <f>'Realisasi Juni'!G212</f>
        <v>1174979865.29</v>
      </c>
      <c r="F212" s="181">
        <v>199643698.00999999</v>
      </c>
      <c r="G212" s="192">
        <f t="shared" si="80"/>
        <v>1374623563.3</v>
      </c>
      <c r="H212" s="24">
        <f t="shared" si="77"/>
        <v>0.57757292575630248</v>
      </c>
      <c r="I212" s="207" t="s">
        <v>157</v>
      </c>
      <c r="J212" s="294"/>
      <c r="K212" s="296"/>
      <c r="L212" s="295"/>
    </row>
    <row r="213" spans="1:12" s="176" customFormat="1" x14ac:dyDescent="0.25">
      <c r="A213" s="188"/>
      <c r="B213" s="178"/>
      <c r="C213" s="171" t="s">
        <v>158</v>
      </c>
      <c r="D213" s="192">
        <v>1048195000</v>
      </c>
      <c r="E213" s="192">
        <f>'Realisasi Juni'!G213</f>
        <v>539686594.49000001</v>
      </c>
      <c r="F213" s="192">
        <v>97257170.560000002</v>
      </c>
      <c r="G213" s="192">
        <f t="shared" si="80"/>
        <v>636943765.04999995</v>
      </c>
      <c r="H213" s="24">
        <f t="shared" si="77"/>
        <v>0.60765770209741499</v>
      </c>
      <c r="I213" s="207" t="s">
        <v>159</v>
      </c>
      <c r="J213" s="294"/>
      <c r="K213" s="296"/>
      <c r="L213" s="295"/>
    </row>
    <row r="214" spans="1:12" s="176" customFormat="1" x14ac:dyDescent="0.25">
      <c r="A214" s="188"/>
      <c r="B214" s="178"/>
      <c r="C214" s="171" t="s">
        <v>160</v>
      </c>
      <c r="D214" s="192">
        <v>1754082650</v>
      </c>
      <c r="E214" s="192">
        <f>'Realisasi Juni'!G214</f>
        <v>728392961.03999996</v>
      </c>
      <c r="F214" s="192">
        <v>125825360.45999999</v>
      </c>
      <c r="G214" s="192">
        <f t="shared" si="80"/>
        <v>854218321.5</v>
      </c>
      <c r="H214" s="24">
        <f t="shared" si="77"/>
        <v>0.48698863847721202</v>
      </c>
      <c r="I214" s="207" t="s">
        <v>161</v>
      </c>
      <c r="J214" s="294"/>
      <c r="K214" s="296"/>
      <c r="L214" s="295"/>
    </row>
    <row r="215" spans="1:12" s="176" customFormat="1" x14ac:dyDescent="0.25">
      <c r="A215" s="188"/>
      <c r="B215" s="178"/>
      <c r="C215" s="171"/>
      <c r="D215" s="192"/>
      <c r="E215" s="192"/>
      <c r="F215" s="192"/>
      <c r="G215" s="192"/>
      <c r="H215" s="24"/>
      <c r="I215" s="207"/>
      <c r="J215" s="294"/>
      <c r="K215" s="295"/>
      <c r="L215" s="295"/>
    </row>
    <row r="216" spans="1:12" s="176" customFormat="1" x14ac:dyDescent="0.25">
      <c r="A216" s="168" t="s">
        <v>591</v>
      </c>
      <c r="B216" s="22" t="s">
        <v>306</v>
      </c>
      <c r="C216" s="185" t="s">
        <v>75</v>
      </c>
      <c r="D216" s="196">
        <f t="shared" ref="D216:G219" si="81">D217</f>
        <v>167200000</v>
      </c>
      <c r="E216" s="196">
        <f t="shared" si="81"/>
        <v>54966124</v>
      </c>
      <c r="F216" s="196">
        <f t="shared" si="81"/>
        <v>10608423</v>
      </c>
      <c r="G216" s="196">
        <f t="shared" si="81"/>
        <v>65574547</v>
      </c>
      <c r="H216" s="236">
        <f>G216/D216</f>
        <v>0.3921922667464115</v>
      </c>
      <c r="I216" s="209"/>
      <c r="J216" s="294"/>
      <c r="K216" s="295"/>
      <c r="L216" s="295"/>
    </row>
    <row r="217" spans="1:12" s="176" customFormat="1" x14ac:dyDescent="0.25">
      <c r="A217" s="188"/>
      <c r="B217" s="189" t="s">
        <v>340</v>
      </c>
      <c r="C217" s="185" t="s">
        <v>341</v>
      </c>
      <c r="D217" s="196">
        <f t="shared" si="81"/>
        <v>167200000</v>
      </c>
      <c r="E217" s="196">
        <f t="shared" si="81"/>
        <v>54966124</v>
      </c>
      <c r="F217" s="196">
        <f t="shared" si="81"/>
        <v>10608423</v>
      </c>
      <c r="G217" s="196">
        <f t="shared" si="81"/>
        <v>65574547</v>
      </c>
      <c r="H217" s="236">
        <f>G217/D217</f>
        <v>0.3921922667464115</v>
      </c>
      <c r="I217" s="209"/>
      <c r="J217" s="294"/>
      <c r="K217" s="295"/>
      <c r="L217" s="295"/>
    </row>
    <row r="218" spans="1:12" s="176" customFormat="1" x14ac:dyDescent="0.25">
      <c r="A218" s="188"/>
      <c r="B218" s="22"/>
      <c r="C218" s="185" t="s">
        <v>76</v>
      </c>
      <c r="D218" s="196">
        <f t="shared" si="81"/>
        <v>167200000</v>
      </c>
      <c r="E218" s="196">
        <f t="shared" si="81"/>
        <v>54966124</v>
      </c>
      <c r="F218" s="196">
        <f t="shared" si="81"/>
        <v>10608423</v>
      </c>
      <c r="G218" s="196">
        <f t="shared" si="81"/>
        <v>65574547</v>
      </c>
      <c r="H218" s="236">
        <f>G218/D218</f>
        <v>0.3921922667464115</v>
      </c>
      <c r="I218" s="209"/>
      <c r="J218" s="294"/>
      <c r="K218" s="295"/>
      <c r="L218" s="295"/>
    </row>
    <row r="219" spans="1:12" s="176" customFormat="1" x14ac:dyDescent="0.25">
      <c r="A219" s="188"/>
      <c r="B219" s="178"/>
      <c r="C219" s="183" t="s">
        <v>77</v>
      </c>
      <c r="D219" s="191">
        <f t="shared" si="81"/>
        <v>167200000</v>
      </c>
      <c r="E219" s="191">
        <f t="shared" si="81"/>
        <v>54966124</v>
      </c>
      <c r="F219" s="191">
        <f t="shared" si="81"/>
        <v>10608423</v>
      </c>
      <c r="G219" s="191">
        <f t="shared" si="81"/>
        <v>65574547</v>
      </c>
      <c r="H219" s="236">
        <f>G219/D219</f>
        <v>0.3921922667464115</v>
      </c>
      <c r="I219" s="207"/>
      <c r="J219" s="294"/>
      <c r="K219" s="295"/>
      <c r="L219" s="295"/>
    </row>
    <row r="220" spans="1:12" s="176" customFormat="1" x14ac:dyDescent="0.25">
      <c r="A220" s="182"/>
      <c r="B220" s="177" t="s">
        <v>79</v>
      </c>
      <c r="C220" s="183" t="s">
        <v>80</v>
      </c>
      <c r="D220" s="192">
        <v>167200000</v>
      </c>
      <c r="E220" s="192">
        <f>'Realisasi Juni'!G220</f>
        <v>54966124</v>
      </c>
      <c r="F220" s="192">
        <v>10608423</v>
      </c>
      <c r="G220" s="192">
        <f>E220+F220</f>
        <v>65574547</v>
      </c>
      <c r="H220" s="24">
        <f>G220/D220</f>
        <v>0.3921922667464115</v>
      </c>
      <c r="I220" s="207" t="s">
        <v>78</v>
      </c>
      <c r="J220" s="294"/>
      <c r="K220" s="295"/>
      <c r="L220" s="295"/>
    </row>
    <row r="221" spans="1:12" s="176" customFormat="1" x14ac:dyDescent="0.25">
      <c r="A221" s="182"/>
      <c r="B221" s="177"/>
      <c r="C221" s="183"/>
      <c r="D221" s="192"/>
      <c r="E221" s="192"/>
      <c r="F221" s="192"/>
      <c r="G221" s="191"/>
      <c r="H221" s="24"/>
      <c r="I221" s="207"/>
      <c r="J221" s="294"/>
      <c r="K221" s="295"/>
      <c r="L221" s="295"/>
    </row>
    <row r="222" spans="1:12" s="187" customFormat="1" x14ac:dyDescent="0.25">
      <c r="A222" s="165" t="s">
        <v>627</v>
      </c>
      <c r="B222" s="179" t="s">
        <v>446</v>
      </c>
      <c r="C222" s="180" t="s">
        <v>447</v>
      </c>
      <c r="D222" s="191">
        <f>D223</f>
        <v>0</v>
      </c>
      <c r="E222" s="191"/>
      <c r="F222" s="191">
        <f>F223</f>
        <v>0</v>
      </c>
      <c r="G222" s="191">
        <f>G223</f>
        <v>0</v>
      </c>
      <c r="H222" s="236" t="e">
        <f>G222/D222</f>
        <v>#DIV/0!</v>
      </c>
      <c r="I222" s="216"/>
      <c r="J222" s="186"/>
    </row>
    <row r="223" spans="1:12" s="187" customFormat="1" x14ac:dyDescent="0.25">
      <c r="A223" s="254"/>
      <c r="B223" s="179" t="s">
        <v>448</v>
      </c>
      <c r="C223" s="180" t="s">
        <v>449</v>
      </c>
      <c r="D223" s="191">
        <f>SUM(D224:D226)</f>
        <v>0</v>
      </c>
      <c r="E223" s="191"/>
      <c r="F223" s="191">
        <f>SUM(F224:F226)</f>
        <v>0</v>
      </c>
      <c r="G223" s="191">
        <f>SUM(G224:G226)</f>
        <v>0</v>
      </c>
      <c r="H223" s="236" t="e">
        <f>G223/D223</f>
        <v>#DIV/0!</v>
      </c>
      <c r="I223" s="216"/>
      <c r="J223" s="186"/>
    </row>
    <row r="224" spans="1:12" s="176" customFormat="1" x14ac:dyDescent="0.25">
      <c r="A224" s="182"/>
      <c r="B224" s="178"/>
      <c r="C224" s="193" t="s">
        <v>450</v>
      </c>
      <c r="D224" s="192">
        <v>0</v>
      </c>
      <c r="E224" s="192">
        <f>'Realisasi April'!G221</f>
        <v>0</v>
      </c>
      <c r="F224" s="192"/>
      <c r="G224" s="192">
        <f>E224+F224</f>
        <v>0</v>
      </c>
      <c r="H224" s="252" t="e">
        <f>G224/D224</f>
        <v>#DIV/0!</v>
      </c>
      <c r="I224" s="207"/>
      <c r="J224" s="175"/>
    </row>
    <row r="225" spans="1:11" s="176" customFormat="1" x14ac:dyDescent="0.25">
      <c r="A225" s="182"/>
      <c r="B225" s="178"/>
      <c r="C225" s="193" t="s">
        <v>451</v>
      </c>
      <c r="D225" s="192">
        <v>0</v>
      </c>
      <c r="E225" s="192">
        <f>'Realisasi April'!G222</f>
        <v>0</v>
      </c>
      <c r="F225" s="192"/>
      <c r="G225" s="192">
        <f>E225+F225</f>
        <v>0</v>
      </c>
      <c r="H225" s="252" t="e">
        <f>G225/D225</f>
        <v>#DIV/0!</v>
      </c>
      <c r="I225" s="207"/>
      <c r="J225" s="175"/>
    </row>
    <row r="226" spans="1:11" s="176" customFormat="1" x14ac:dyDescent="0.25">
      <c r="A226" s="182"/>
      <c r="B226" s="178"/>
      <c r="C226" s="193"/>
      <c r="D226" s="192"/>
      <c r="E226" s="192"/>
      <c r="F226" s="192"/>
      <c r="G226" s="192"/>
      <c r="H226" s="252"/>
      <c r="I226" s="207"/>
      <c r="J226" s="175"/>
    </row>
    <row r="227" spans="1:11" s="176" customFormat="1" x14ac:dyDescent="0.25">
      <c r="A227" s="182"/>
      <c r="B227" s="36"/>
      <c r="C227" s="37"/>
      <c r="D227" s="192"/>
      <c r="E227" s="192"/>
      <c r="F227" s="192"/>
      <c r="G227" s="191"/>
      <c r="H227" s="236"/>
      <c r="I227" s="222"/>
      <c r="J227" s="175"/>
    </row>
    <row r="228" spans="1:11" s="176" customFormat="1" ht="24.75" customHeight="1" x14ac:dyDescent="0.25">
      <c r="A228" s="126" t="s">
        <v>163</v>
      </c>
      <c r="B228" s="128" t="s">
        <v>164</v>
      </c>
      <c r="C228" s="41" t="s">
        <v>268</v>
      </c>
      <c r="D228" s="42">
        <f>SUM(D229+D415)</f>
        <v>884375671064</v>
      </c>
      <c r="E228" s="42">
        <f>SUM(E229+E415)</f>
        <v>396176724831</v>
      </c>
      <c r="F228" s="42">
        <f>SUM(F229+F415)</f>
        <v>70936268026</v>
      </c>
      <c r="G228" s="42">
        <f>SUM(G229+G415)</f>
        <v>467112992857</v>
      </c>
      <c r="H228" s="237">
        <f t="shared" ref="H228:H233" si="82">G228/D228</f>
        <v>0.52818390209107891</v>
      </c>
      <c r="I228" s="223"/>
      <c r="J228" s="175"/>
      <c r="K228" s="270"/>
    </row>
    <row r="229" spans="1:11" s="176" customFormat="1" x14ac:dyDescent="0.25">
      <c r="A229" s="134" t="s">
        <v>416</v>
      </c>
      <c r="B229" s="135" t="s">
        <v>350</v>
      </c>
      <c r="C229" s="136" t="s">
        <v>351</v>
      </c>
      <c r="D229" s="137">
        <f>SUM(D230)</f>
        <v>768680341983</v>
      </c>
      <c r="E229" s="137">
        <f t="shared" ref="E229:G229" si="83">SUM(E230)</f>
        <v>358571994308</v>
      </c>
      <c r="F229" s="137">
        <f t="shared" si="83"/>
        <v>44113113882</v>
      </c>
      <c r="G229" s="137">
        <f t="shared" si="83"/>
        <v>402685108190</v>
      </c>
      <c r="H229" s="238">
        <f t="shared" si="82"/>
        <v>0.5238654954427151</v>
      </c>
      <c r="I229" s="223"/>
      <c r="J229" s="175"/>
    </row>
    <row r="230" spans="1:11" s="176" customFormat="1" x14ac:dyDescent="0.25">
      <c r="A230" s="123" t="s">
        <v>89</v>
      </c>
      <c r="B230" s="133" t="s">
        <v>352</v>
      </c>
      <c r="C230" s="124" t="s">
        <v>165</v>
      </c>
      <c r="D230" s="125">
        <f>SUM(D231+D298+D300+D370)</f>
        <v>768680341983</v>
      </c>
      <c r="E230" s="125">
        <f>SUM(E231+E298+E300+E370)</f>
        <v>358571994308</v>
      </c>
      <c r="F230" s="125">
        <f>SUM(F231+F298+F300+F370)</f>
        <v>44113113882</v>
      </c>
      <c r="G230" s="125">
        <f>SUM(G231+G298+G300+G370)</f>
        <v>402685108190</v>
      </c>
      <c r="H230" s="239">
        <f t="shared" si="82"/>
        <v>0.5238654954427151</v>
      </c>
      <c r="I230" s="223"/>
      <c r="J230" s="175"/>
      <c r="K230" s="270"/>
    </row>
    <row r="231" spans="1:11" s="176" customFormat="1" x14ac:dyDescent="0.25">
      <c r="A231" s="138" t="s">
        <v>166</v>
      </c>
      <c r="B231" s="139" t="s">
        <v>353</v>
      </c>
      <c r="C231" s="140" t="s">
        <v>354</v>
      </c>
      <c r="D231" s="141">
        <f>SUM(D232+D265+D269+D273+D277+D281+D285+D290+D293)</f>
        <v>154499794000</v>
      </c>
      <c r="E231" s="141">
        <f>SUM(E232+E265+E269+E273+E277+E281+E285+E290+E293+E263)</f>
        <v>64990433740</v>
      </c>
      <c r="F231" s="141">
        <f>SUM(F232+F265+F269+F273+F277+F281+F285+F290+F293)</f>
        <v>0</v>
      </c>
      <c r="G231" s="141">
        <f>G232+G265+G269+G273+G277+G281+G285+G293+G263</f>
        <v>64990433740</v>
      </c>
      <c r="H231" s="240">
        <f t="shared" si="82"/>
        <v>0.42065061743706922</v>
      </c>
      <c r="I231" s="224"/>
      <c r="J231" s="175"/>
      <c r="K231" s="270"/>
    </row>
    <row r="232" spans="1:11" s="187" customFormat="1" x14ac:dyDescent="0.25">
      <c r="A232" s="184" t="s">
        <v>406</v>
      </c>
      <c r="B232" s="189" t="s">
        <v>355</v>
      </c>
      <c r="C232" s="185" t="s">
        <v>356</v>
      </c>
      <c r="D232" s="196">
        <f>D233+D243</f>
        <v>25228962000</v>
      </c>
      <c r="E232" s="196">
        <f>E233+E243</f>
        <v>9704365500</v>
      </c>
      <c r="F232" s="196">
        <f t="shared" ref="F232:G232" si="84">F233+F243</f>
        <v>0</v>
      </c>
      <c r="G232" s="196">
        <f t="shared" si="84"/>
        <v>9704365500</v>
      </c>
      <c r="H232" s="236">
        <f t="shared" si="82"/>
        <v>0.38465179423552981</v>
      </c>
      <c r="I232" s="225" t="s">
        <v>167</v>
      </c>
      <c r="J232" s="186"/>
    </row>
    <row r="233" spans="1:11" s="187" customFormat="1" x14ac:dyDescent="0.25">
      <c r="A233" s="184"/>
      <c r="B233" s="189"/>
      <c r="C233" s="185" t="s">
        <v>633</v>
      </c>
      <c r="D233" s="196">
        <v>25228962000</v>
      </c>
      <c r="E233" s="196">
        <f>SUM(E234:E242)</f>
        <v>9704365500</v>
      </c>
      <c r="F233" s="196">
        <f>SUM(F234:F242)</f>
        <v>0</v>
      </c>
      <c r="G233" s="196">
        <f>SUM(G234:G242)</f>
        <v>9704365500</v>
      </c>
      <c r="H233" s="236">
        <f t="shared" si="82"/>
        <v>0.38465179423552981</v>
      </c>
      <c r="I233" s="225"/>
      <c r="J233" s="186"/>
    </row>
    <row r="234" spans="1:11" s="187" customFormat="1" x14ac:dyDescent="0.25">
      <c r="A234" s="184"/>
      <c r="B234" s="190"/>
      <c r="C234" s="193" t="s">
        <v>453</v>
      </c>
      <c r="D234" s="181"/>
      <c r="E234" s="181">
        <f>'Realisasi Juni'!G234</f>
        <v>1082032500</v>
      </c>
      <c r="F234" s="181"/>
      <c r="G234" s="192">
        <f>E234+F234</f>
        <v>1082032500</v>
      </c>
      <c r="H234" s="24"/>
      <c r="I234" s="225"/>
      <c r="J234" s="186"/>
    </row>
    <row r="235" spans="1:11" s="187" customFormat="1" x14ac:dyDescent="0.25">
      <c r="A235" s="184"/>
      <c r="B235" s="190"/>
      <c r="C235" s="193" t="s">
        <v>454</v>
      </c>
      <c r="D235" s="181"/>
      <c r="E235" s="181">
        <f>'Realisasi Juni'!G235</f>
        <v>0</v>
      </c>
      <c r="F235" s="181"/>
      <c r="G235" s="192">
        <f t="shared" ref="G235:G242" si="85">E235+F235</f>
        <v>0</v>
      </c>
      <c r="H235" s="24"/>
      <c r="I235" s="225"/>
      <c r="J235" s="186"/>
    </row>
    <row r="236" spans="1:11" s="187" customFormat="1" x14ac:dyDescent="0.25">
      <c r="A236" s="184"/>
      <c r="B236" s="190"/>
      <c r="C236" s="193" t="s">
        <v>455</v>
      </c>
      <c r="D236" s="181"/>
      <c r="E236" s="181">
        <f>'Realisasi Juni'!G236</f>
        <v>0</v>
      </c>
      <c r="F236" s="181"/>
      <c r="G236" s="192">
        <f t="shared" si="85"/>
        <v>0</v>
      </c>
      <c r="H236" s="24"/>
      <c r="I236" s="225"/>
      <c r="J236" s="186"/>
    </row>
    <row r="237" spans="1:11" s="187" customFormat="1" x14ac:dyDescent="0.25">
      <c r="A237" s="184"/>
      <c r="B237" s="190"/>
      <c r="C237" s="193" t="s">
        <v>456</v>
      </c>
      <c r="D237" s="181"/>
      <c r="E237" s="181">
        <f>'Realisasi Juni'!G237</f>
        <v>8344193400</v>
      </c>
      <c r="F237" s="181"/>
      <c r="G237" s="192">
        <f t="shared" si="85"/>
        <v>8344193400</v>
      </c>
      <c r="H237" s="24"/>
      <c r="I237" s="225"/>
      <c r="J237" s="186"/>
    </row>
    <row r="238" spans="1:11" s="187" customFormat="1" x14ac:dyDescent="0.25">
      <c r="A238" s="184"/>
      <c r="B238" s="190"/>
      <c r="C238" s="193" t="s">
        <v>457</v>
      </c>
      <c r="D238" s="181"/>
      <c r="E238" s="181">
        <f>'Realisasi Juni'!G238</f>
        <v>0</v>
      </c>
      <c r="F238" s="181"/>
      <c r="G238" s="192">
        <f t="shared" si="85"/>
        <v>0</v>
      </c>
      <c r="H238" s="24"/>
      <c r="I238" s="225"/>
      <c r="J238" s="186"/>
    </row>
    <row r="239" spans="1:11" s="187" customFormat="1" x14ac:dyDescent="0.25">
      <c r="A239" s="184"/>
      <c r="B239" s="190"/>
      <c r="C239" s="193" t="s">
        <v>458</v>
      </c>
      <c r="D239" s="181"/>
      <c r="E239" s="181">
        <f>'Realisasi Juni'!G239</f>
        <v>0</v>
      </c>
      <c r="F239" s="181"/>
      <c r="G239" s="192">
        <f t="shared" si="85"/>
        <v>0</v>
      </c>
      <c r="H239" s="24"/>
      <c r="I239" s="225"/>
      <c r="J239" s="186"/>
    </row>
    <row r="240" spans="1:11" s="187" customFormat="1" x14ac:dyDescent="0.25">
      <c r="A240" s="184"/>
      <c r="B240" s="190"/>
      <c r="C240" s="193" t="s">
        <v>459</v>
      </c>
      <c r="D240" s="181"/>
      <c r="E240" s="181">
        <f>'Realisasi Juni'!G240</f>
        <v>0</v>
      </c>
      <c r="F240" s="181"/>
      <c r="G240" s="192">
        <f t="shared" si="85"/>
        <v>0</v>
      </c>
      <c r="H240" s="24"/>
      <c r="I240" s="225"/>
      <c r="J240" s="186"/>
    </row>
    <row r="241" spans="1:10" s="187" customFormat="1" x14ac:dyDescent="0.25">
      <c r="A241" s="184"/>
      <c r="B241" s="190"/>
      <c r="C241" s="193" t="s">
        <v>460</v>
      </c>
      <c r="D241" s="181"/>
      <c r="E241" s="181">
        <f>'Realisasi Juni'!G241</f>
        <v>278139600</v>
      </c>
      <c r="F241" s="181"/>
      <c r="G241" s="192">
        <f t="shared" si="85"/>
        <v>278139600</v>
      </c>
      <c r="H241" s="24"/>
      <c r="I241" s="225"/>
      <c r="J241" s="186"/>
    </row>
    <row r="242" spans="1:10" s="187" customFormat="1" x14ac:dyDescent="0.25">
      <c r="A242" s="184"/>
      <c r="B242" s="190"/>
      <c r="C242" s="193" t="s">
        <v>461</v>
      </c>
      <c r="D242" s="181"/>
      <c r="E242" s="181">
        <f>'Realisasi Juni'!G242</f>
        <v>0</v>
      </c>
      <c r="F242" s="181"/>
      <c r="G242" s="192">
        <f t="shared" si="85"/>
        <v>0</v>
      </c>
      <c r="H242" s="24"/>
      <c r="I242" s="225"/>
      <c r="J242" s="186"/>
    </row>
    <row r="243" spans="1:10" s="187" customFormat="1" x14ac:dyDescent="0.25">
      <c r="A243" s="184"/>
      <c r="B243" s="190"/>
      <c r="C243" s="35" t="s">
        <v>519</v>
      </c>
      <c r="D243" s="196">
        <f>SUM(D244:D261)</f>
        <v>0</v>
      </c>
      <c r="E243" s="196">
        <f t="shared" ref="E243:G243" si="86">SUM(E244:E261)</f>
        <v>0</v>
      </c>
      <c r="F243" s="196">
        <f t="shared" si="86"/>
        <v>0</v>
      </c>
      <c r="G243" s="196">
        <f t="shared" si="86"/>
        <v>0</v>
      </c>
      <c r="H243" s="236" t="e">
        <f t="shared" ref="H243:H261" si="87">G243/D243</f>
        <v>#DIV/0!</v>
      </c>
      <c r="I243" s="225"/>
      <c r="J243" s="186"/>
    </row>
    <row r="244" spans="1:10" s="187" customFormat="1" x14ac:dyDescent="0.25">
      <c r="A244" s="184"/>
      <c r="B244" s="190"/>
      <c r="C244" s="193" t="s">
        <v>521</v>
      </c>
      <c r="D244" s="181"/>
      <c r="E244" s="181"/>
      <c r="F244" s="181"/>
      <c r="G244" s="192">
        <f>E244+F244</f>
        <v>0</v>
      </c>
      <c r="H244" s="24" t="e">
        <f t="shared" si="87"/>
        <v>#DIV/0!</v>
      </c>
      <c r="I244" s="225"/>
      <c r="J244" s="186"/>
    </row>
    <row r="245" spans="1:10" s="187" customFormat="1" x14ac:dyDescent="0.25">
      <c r="A245" s="184"/>
      <c r="B245" s="190"/>
      <c r="C245" s="193" t="s">
        <v>520</v>
      </c>
      <c r="D245" s="181"/>
      <c r="E245" s="181"/>
      <c r="F245" s="181"/>
      <c r="G245" s="192">
        <f t="shared" ref="G245:G261" si="88">E245+F245</f>
        <v>0</v>
      </c>
      <c r="H245" s="24" t="e">
        <f t="shared" si="87"/>
        <v>#DIV/0!</v>
      </c>
      <c r="I245" s="225"/>
      <c r="J245" s="186"/>
    </row>
    <row r="246" spans="1:10" s="187" customFormat="1" x14ac:dyDescent="0.25">
      <c r="A246" s="184"/>
      <c r="B246" s="190"/>
      <c r="C246" s="193" t="s">
        <v>522</v>
      </c>
      <c r="D246" s="181"/>
      <c r="E246" s="181"/>
      <c r="F246" s="181"/>
      <c r="G246" s="192">
        <f t="shared" si="88"/>
        <v>0</v>
      </c>
      <c r="H246" s="24" t="e">
        <f t="shared" si="87"/>
        <v>#DIV/0!</v>
      </c>
      <c r="I246" s="225"/>
      <c r="J246" s="186"/>
    </row>
    <row r="247" spans="1:10" s="187" customFormat="1" x14ac:dyDescent="0.25">
      <c r="A247" s="184"/>
      <c r="B247" s="190"/>
      <c r="C247" s="193" t="s">
        <v>523</v>
      </c>
      <c r="D247" s="181"/>
      <c r="E247" s="181"/>
      <c r="F247" s="181"/>
      <c r="G247" s="192">
        <f t="shared" si="88"/>
        <v>0</v>
      </c>
      <c r="H247" s="24" t="e">
        <f t="shared" si="87"/>
        <v>#DIV/0!</v>
      </c>
      <c r="I247" s="225"/>
      <c r="J247" s="186"/>
    </row>
    <row r="248" spans="1:10" s="187" customFormat="1" x14ac:dyDescent="0.25">
      <c r="A248" s="184"/>
      <c r="B248" s="190"/>
      <c r="C248" s="193" t="s">
        <v>524</v>
      </c>
      <c r="D248" s="181"/>
      <c r="E248" s="181"/>
      <c r="F248" s="181"/>
      <c r="G248" s="192">
        <f t="shared" si="88"/>
        <v>0</v>
      </c>
      <c r="H248" s="24" t="e">
        <f t="shared" si="87"/>
        <v>#DIV/0!</v>
      </c>
      <c r="I248" s="225"/>
      <c r="J248" s="186"/>
    </row>
    <row r="249" spans="1:10" s="187" customFormat="1" x14ac:dyDescent="0.25">
      <c r="A249" s="184"/>
      <c r="B249" s="190"/>
      <c r="C249" s="193" t="s">
        <v>525</v>
      </c>
      <c r="D249" s="181"/>
      <c r="E249" s="181"/>
      <c r="F249" s="181"/>
      <c r="G249" s="192">
        <f t="shared" si="88"/>
        <v>0</v>
      </c>
      <c r="H249" s="24" t="e">
        <f t="shared" si="87"/>
        <v>#DIV/0!</v>
      </c>
      <c r="I249" s="225"/>
      <c r="J249" s="186"/>
    </row>
    <row r="250" spans="1:10" s="187" customFormat="1" x14ac:dyDescent="0.25">
      <c r="A250" s="184"/>
      <c r="B250" s="190"/>
      <c r="C250" s="193" t="s">
        <v>526</v>
      </c>
      <c r="D250" s="181"/>
      <c r="E250" s="181"/>
      <c r="F250" s="181"/>
      <c r="G250" s="192">
        <f t="shared" si="88"/>
        <v>0</v>
      </c>
      <c r="H250" s="24" t="e">
        <f t="shared" si="87"/>
        <v>#DIV/0!</v>
      </c>
      <c r="I250" s="225"/>
      <c r="J250" s="186"/>
    </row>
    <row r="251" spans="1:10" s="187" customFormat="1" x14ac:dyDescent="0.25">
      <c r="A251" s="184"/>
      <c r="B251" s="190"/>
      <c r="C251" s="193" t="s">
        <v>527</v>
      </c>
      <c r="D251" s="181"/>
      <c r="E251" s="181"/>
      <c r="F251" s="181"/>
      <c r="G251" s="192">
        <f t="shared" si="88"/>
        <v>0</v>
      </c>
      <c r="H251" s="24" t="e">
        <f t="shared" si="87"/>
        <v>#DIV/0!</v>
      </c>
      <c r="I251" s="225"/>
      <c r="J251" s="186"/>
    </row>
    <row r="252" spans="1:10" s="187" customFormat="1" x14ac:dyDescent="0.25">
      <c r="A252" s="184"/>
      <c r="B252" s="190"/>
      <c r="C252" s="193" t="s">
        <v>528</v>
      </c>
      <c r="D252" s="181"/>
      <c r="E252" s="181"/>
      <c r="F252" s="181"/>
      <c r="G252" s="192">
        <f t="shared" si="88"/>
        <v>0</v>
      </c>
      <c r="H252" s="24" t="e">
        <f t="shared" si="87"/>
        <v>#DIV/0!</v>
      </c>
      <c r="I252" s="225"/>
      <c r="J252" s="186"/>
    </row>
    <row r="253" spans="1:10" s="187" customFormat="1" x14ac:dyDescent="0.25">
      <c r="A253" s="184"/>
      <c r="B253" s="190"/>
      <c r="C253" s="193" t="s">
        <v>567</v>
      </c>
      <c r="D253" s="181"/>
      <c r="E253" s="181"/>
      <c r="F253" s="181"/>
      <c r="G253" s="192">
        <f t="shared" si="88"/>
        <v>0</v>
      </c>
      <c r="H253" s="24" t="e">
        <f t="shared" si="87"/>
        <v>#DIV/0!</v>
      </c>
      <c r="I253" s="225"/>
      <c r="J253" s="186"/>
    </row>
    <row r="254" spans="1:10" s="187" customFormat="1" x14ac:dyDescent="0.25">
      <c r="A254" s="184"/>
      <c r="B254" s="190"/>
      <c r="C254" s="193" t="s">
        <v>568</v>
      </c>
      <c r="D254" s="181"/>
      <c r="E254" s="181"/>
      <c r="F254" s="181"/>
      <c r="G254" s="192">
        <f t="shared" si="88"/>
        <v>0</v>
      </c>
      <c r="H254" s="24" t="e">
        <f t="shared" si="87"/>
        <v>#DIV/0!</v>
      </c>
      <c r="I254" s="225"/>
      <c r="J254" s="186"/>
    </row>
    <row r="255" spans="1:10" s="187" customFormat="1" x14ac:dyDescent="0.25">
      <c r="A255" s="184"/>
      <c r="B255" s="190"/>
      <c r="C255" s="193" t="s">
        <v>569</v>
      </c>
      <c r="D255" s="181"/>
      <c r="E255" s="181"/>
      <c r="F255" s="181"/>
      <c r="G255" s="192">
        <f t="shared" si="88"/>
        <v>0</v>
      </c>
      <c r="H255" s="24" t="e">
        <f t="shared" si="87"/>
        <v>#DIV/0!</v>
      </c>
      <c r="I255" s="225"/>
      <c r="J255" s="186"/>
    </row>
    <row r="256" spans="1:10" s="187" customFormat="1" x14ac:dyDescent="0.25">
      <c r="A256" s="184"/>
      <c r="B256" s="190"/>
      <c r="C256" s="193" t="s">
        <v>570</v>
      </c>
      <c r="D256" s="181"/>
      <c r="E256" s="181"/>
      <c r="F256" s="181"/>
      <c r="G256" s="192">
        <f t="shared" si="88"/>
        <v>0</v>
      </c>
      <c r="H256" s="24" t="e">
        <f t="shared" si="87"/>
        <v>#DIV/0!</v>
      </c>
      <c r="I256" s="225"/>
      <c r="J256" s="186"/>
    </row>
    <row r="257" spans="1:10" s="187" customFormat="1" x14ac:dyDescent="0.25">
      <c r="A257" s="184"/>
      <c r="B257" s="190"/>
      <c r="C257" s="193" t="s">
        <v>571</v>
      </c>
      <c r="D257" s="181"/>
      <c r="E257" s="181"/>
      <c r="F257" s="181"/>
      <c r="G257" s="192">
        <f t="shared" si="88"/>
        <v>0</v>
      </c>
      <c r="H257" s="24" t="e">
        <f t="shared" si="87"/>
        <v>#DIV/0!</v>
      </c>
      <c r="I257" s="225"/>
      <c r="J257" s="186"/>
    </row>
    <row r="258" spans="1:10" s="187" customFormat="1" x14ac:dyDescent="0.25">
      <c r="A258" s="184"/>
      <c r="B258" s="190"/>
      <c r="C258" s="193" t="s">
        <v>572</v>
      </c>
      <c r="D258" s="181"/>
      <c r="E258" s="181"/>
      <c r="F258" s="181"/>
      <c r="G258" s="192">
        <f t="shared" si="88"/>
        <v>0</v>
      </c>
      <c r="H258" s="24" t="e">
        <f t="shared" si="87"/>
        <v>#DIV/0!</v>
      </c>
      <c r="I258" s="225"/>
      <c r="J258" s="186"/>
    </row>
    <row r="259" spans="1:10" s="187" customFormat="1" x14ac:dyDescent="0.25">
      <c r="A259" s="184"/>
      <c r="B259" s="190"/>
      <c r="C259" s="193" t="s">
        <v>573</v>
      </c>
      <c r="D259" s="181"/>
      <c r="E259" s="181"/>
      <c r="F259" s="181"/>
      <c r="G259" s="192">
        <f t="shared" si="88"/>
        <v>0</v>
      </c>
      <c r="H259" s="24" t="e">
        <f t="shared" si="87"/>
        <v>#DIV/0!</v>
      </c>
      <c r="I259" s="225"/>
      <c r="J259" s="186"/>
    </row>
    <row r="260" spans="1:10" s="187" customFormat="1" x14ac:dyDescent="0.25">
      <c r="A260" s="184"/>
      <c r="B260" s="190"/>
      <c r="C260" s="193" t="s">
        <v>574</v>
      </c>
      <c r="D260" s="181"/>
      <c r="E260" s="181"/>
      <c r="F260" s="181"/>
      <c r="G260" s="192">
        <f t="shared" si="88"/>
        <v>0</v>
      </c>
      <c r="H260" s="24" t="e">
        <f t="shared" si="87"/>
        <v>#DIV/0!</v>
      </c>
      <c r="I260" s="225"/>
      <c r="J260" s="186"/>
    </row>
    <row r="261" spans="1:10" s="187" customFormat="1" x14ac:dyDescent="0.25">
      <c r="A261" s="184"/>
      <c r="B261" s="190"/>
      <c r="C261" s="193" t="s">
        <v>575</v>
      </c>
      <c r="D261" s="181"/>
      <c r="E261" s="181"/>
      <c r="F261" s="181"/>
      <c r="G261" s="192">
        <f t="shared" si="88"/>
        <v>0</v>
      </c>
      <c r="H261" s="24" t="e">
        <f t="shared" si="87"/>
        <v>#DIV/0!</v>
      </c>
      <c r="I261" s="225"/>
      <c r="J261" s="186"/>
    </row>
    <row r="262" spans="1:10" s="187" customFormat="1" x14ac:dyDescent="0.25">
      <c r="A262" s="184"/>
      <c r="B262" s="190"/>
      <c r="C262" s="193"/>
      <c r="D262" s="181"/>
      <c r="E262" s="181"/>
      <c r="F262" s="181"/>
      <c r="G262" s="192"/>
      <c r="H262" s="24"/>
      <c r="I262" s="225"/>
      <c r="J262" s="186"/>
    </row>
    <row r="263" spans="1:10" s="187" customFormat="1" x14ac:dyDescent="0.25">
      <c r="A263" s="184"/>
      <c r="B263" s="190"/>
      <c r="C263" s="35" t="s">
        <v>688</v>
      </c>
      <c r="D263" s="196"/>
      <c r="E263" s="196">
        <f>'Realisasi Juni'!G263</f>
        <v>42840</v>
      </c>
      <c r="F263" s="196"/>
      <c r="G263" s="191">
        <f>E263+F263</f>
        <v>42840</v>
      </c>
      <c r="H263" s="236"/>
      <c r="I263" s="225"/>
      <c r="J263" s="186"/>
    </row>
    <row r="264" spans="1:10" s="187" customFormat="1" x14ac:dyDescent="0.25">
      <c r="A264" s="184"/>
      <c r="B264" s="190"/>
      <c r="C264" s="183"/>
      <c r="D264" s="181"/>
      <c r="E264" s="181"/>
      <c r="F264" s="181"/>
      <c r="G264" s="192"/>
      <c r="H264" s="24"/>
      <c r="I264" s="225"/>
      <c r="J264" s="186"/>
    </row>
    <row r="265" spans="1:10" s="187" customFormat="1" x14ac:dyDescent="0.25">
      <c r="A265" s="184" t="s">
        <v>407</v>
      </c>
      <c r="B265" s="189" t="s">
        <v>357</v>
      </c>
      <c r="C265" s="185" t="s">
        <v>358</v>
      </c>
      <c r="D265" s="191">
        <v>25657034000</v>
      </c>
      <c r="E265" s="191">
        <f>SUM(E266:E267)</f>
        <v>10262813600</v>
      </c>
      <c r="F265" s="191">
        <f t="shared" ref="F265:G265" si="89">SUM(F266:F267)</f>
        <v>0</v>
      </c>
      <c r="G265" s="191">
        <f t="shared" si="89"/>
        <v>10262813600</v>
      </c>
      <c r="H265" s="236">
        <f>G265/D265</f>
        <v>0.4</v>
      </c>
      <c r="I265" s="225" t="s">
        <v>167</v>
      </c>
      <c r="J265" s="186"/>
    </row>
    <row r="266" spans="1:10" s="187" customFormat="1" x14ac:dyDescent="0.25">
      <c r="A266" s="184"/>
      <c r="B266" s="190"/>
      <c r="C266" s="193" t="s">
        <v>650</v>
      </c>
      <c r="D266" s="192"/>
      <c r="E266" s="192">
        <f>'Realisasi Juni'!G266</f>
        <v>10262813600</v>
      </c>
      <c r="F266" s="192"/>
      <c r="G266" s="192">
        <f>E266+F266</f>
        <v>10262813600</v>
      </c>
      <c r="H266" s="24" t="e">
        <f>G266/D266</f>
        <v>#DIV/0!</v>
      </c>
      <c r="I266" s="225"/>
      <c r="J266" s="186"/>
    </row>
    <row r="267" spans="1:10" s="187" customFormat="1" x14ac:dyDescent="0.25">
      <c r="A267" s="184"/>
      <c r="B267" s="190"/>
      <c r="C267" s="193" t="s">
        <v>651</v>
      </c>
      <c r="D267" s="192"/>
      <c r="E267" s="192">
        <f>'Realisasi April'!G262</f>
        <v>0</v>
      </c>
      <c r="F267" s="192"/>
      <c r="G267" s="192">
        <f t="shared" ref="G267" si="90">E267+F267</f>
        <v>0</v>
      </c>
      <c r="H267" s="24" t="e">
        <f>G267/D267</f>
        <v>#DIV/0!</v>
      </c>
      <c r="I267" s="225"/>
      <c r="J267" s="186"/>
    </row>
    <row r="268" spans="1:10" s="187" customFormat="1" x14ac:dyDescent="0.25">
      <c r="A268" s="184"/>
      <c r="B268" s="190"/>
      <c r="C268" s="183"/>
      <c r="D268" s="192"/>
      <c r="E268" s="192"/>
      <c r="F268" s="192"/>
      <c r="G268" s="192"/>
      <c r="H268" s="24"/>
      <c r="I268" s="225"/>
      <c r="J268" s="186"/>
    </row>
    <row r="269" spans="1:10" s="187" customFormat="1" x14ac:dyDescent="0.25">
      <c r="A269" s="184" t="s">
        <v>408</v>
      </c>
      <c r="B269" s="189" t="s">
        <v>359</v>
      </c>
      <c r="C269" s="185" t="s">
        <v>360</v>
      </c>
      <c r="D269" s="191">
        <v>1111004000</v>
      </c>
      <c r="E269" s="191">
        <f>SUM(E270:E271)</f>
        <v>444401600</v>
      </c>
      <c r="F269" s="191">
        <f>SUM(F270:F271)</f>
        <v>0</v>
      </c>
      <c r="G269" s="191">
        <f>SUM(G270:G271)</f>
        <v>444401600</v>
      </c>
      <c r="H269" s="236">
        <f>G269/D269</f>
        <v>0.4</v>
      </c>
      <c r="I269" s="225" t="s">
        <v>167</v>
      </c>
      <c r="J269" s="186"/>
    </row>
    <row r="270" spans="1:10" s="187" customFormat="1" x14ac:dyDescent="0.25">
      <c r="A270" s="184"/>
      <c r="B270" s="190"/>
      <c r="C270" s="193" t="s">
        <v>652</v>
      </c>
      <c r="D270" s="192"/>
      <c r="E270" s="192">
        <f>'Realisasi Juni'!G270</f>
        <v>444401600</v>
      </c>
      <c r="F270" s="192"/>
      <c r="G270" s="192">
        <f>E270+F270</f>
        <v>444401600</v>
      </c>
      <c r="H270" s="24" t="e">
        <f>G270/D270</f>
        <v>#DIV/0!</v>
      </c>
      <c r="I270" s="225"/>
      <c r="J270" s="186"/>
    </row>
    <row r="271" spans="1:10" s="187" customFormat="1" x14ac:dyDescent="0.25">
      <c r="A271" s="184"/>
      <c r="B271" s="190"/>
      <c r="C271" s="193" t="s">
        <v>653</v>
      </c>
      <c r="D271" s="192"/>
      <c r="E271" s="192">
        <f>'Realisasi April'!G266</f>
        <v>0</v>
      </c>
      <c r="F271" s="192"/>
      <c r="G271" s="192">
        <f t="shared" ref="G271" si="91">E271+F271</f>
        <v>0</v>
      </c>
      <c r="H271" s="24" t="e">
        <f>G271/D271</f>
        <v>#DIV/0!</v>
      </c>
      <c r="I271" s="225"/>
      <c r="J271" s="186"/>
    </row>
    <row r="272" spans="1:10" s="187" customFormat="1" x14ac:dyDescent="0.25">
      <c r="A272" s="184"/>
      <c r="B272" s="190"/>
      <c r="C272" s="183"/>
      <c r="D272" s="192"/>
      <c r="E272" s="192"/>
      <c r="F272" s="192"/>
      <c r="G272" s="192"/>
      <c r="H272" s="24"/>
      <c r="I272" s="225"/>
      <c r="J272" s="186"/>
    </row>
    <row r="273" spans="1:10" s="187" customFormat="1" x14ac:dyDescent="0.25">
      <c r="A273" s="184" t="s">
        <v>409</v>
      </c>
      <c r="B273" s="189" t="s">
        <v>405</v>
      </c>
      <c r="C273" s="185" t="s">
        <v>361</v>
      </c>
      <c r="D273" s="191">
        <v>90682864000</v>
      </c>
      <c r="E273" s="191">
        <f>SUM(E274:E275)</f>
        <v>39076182900</v>
      </c>
      <c r="F273" s="191">
        <f>SUM(F274:F275)</f>
        <v>0</v>
      </c>
      <c r="G273" s="191">
        <f>SUM(G274:G275)</f>
        <v>39076182900</v>
      </c>
      <c r="H273" s="236">
        <f>G273/D273</f>
        <v>0.43091033053389227</v>
      </c>
      <c r="I273" s="225" t="s">
        <v>167</v>
      </c>
      <c r="J273" s="186"/>
    </row>
    <row r="274" spans="1:10" s="187" customFormat="1" x14ac:dyDescent="0.25">
      <c r="A274" s="184"/>
      <c r="B274" s="190"/>
      <c r="C274" s="193" t="s">
        <v>654</v>
      </c>
      <c r="D274" s="192"/>
      <c r="E274" s="192">
        <f>'Realisasi Juni'!G274</f>
        <v>39076182900</v>
      </c>
      <c r="F274" s="192"/>
      <c r="G274" s="192">
        <f>E274+F274</f>
        <v>39076182900</v>
      </c>
      <c r="H274" s="24" t="e">
        <f>G274/D274</f>
        <v>#DIV/0!</v>
      </c>
      <c r="I274" s="225"/>
      <c r="J274" s="186"/>
    </row>
    <row r="275" spans="1:10" s="187" customFormat="1" x14ac:dyDescent="0.25">
      <c r="A275" s="184"/>
      <c r="B275" s="190"/>
      <c r="C275" s="193" t="s">
        <v>655</v>
      </c>
      <c r="D275" s="192"/>
      <c r="E275" s="192">
        <f>'Realisasi Juni'!G275</f>
        <v>0</v>
      </c>
      <c r="F275" s="192"/>
      <c r="G275" s="192">
        <f t="shared" ref="G275" si="92">E275+F275</f>
        <v>0</v>
      </c>
      <c r="H275" s="24" t="e">
        <f>G275/D275</f>
        <v>#DIV/0!</v>
      </c>
      <c r="I275" s="225"/>
      <c r="J275" s="186"/>
    </row>
    <row r="276" spans="1:10" s="187" customFormat="1" x14ac:dyDescent="0.25">
      <c r="A276" s="184"/>
      <c r="B276" s="190"/>
      <c r="C276" s="193"/>
      <c r="D276" s="192"/>
      <c r="E276" s="192"/>
      <c r="F276" s="192"/>
      <c r="G276" s="192"/>
      <c r="H276" s="24"/>
      <c r="I276" s="225"/>
      <c r="J276" s="186"/>
    </row>
    <row r="277" spans="1:10" s="187" customFormat="1" x14ac:dyDescent="0.25">
      <c r="A277" s="188" t="s">
        <v>410</v>
      </c>
      <c r="B277" s="189" t="s">
        <v>462</v>
      </c>
      <c r="C277" s="185" t="s">
        <v>463</v>
      </c>
      <c r="D277" s="191">
        <f>SUM(D278:D279)</f>
        <v>0</v>
      </c>
      <c r="E277" s="191">
        <f>SUM(E278:E279)</f>
        <v>1731105900</v>
      </c>
      <c r="F277" s="191">
        <f>SUM(F278:F279)</f>
        <v>0</v>
      </c>
      <c r="G277" s="191">
        <f t="shared" ref="G277" si="93">SUM(G278:G279)</f>
        <v>1731105900</v>
      </c>
      <c r="H277" s="236" t="e">
        <f>G277/D277</f>
        <v>#DIV/0!</v>
      </c>
      <c r="I277" s="225"/>
      <c r="J277" s="186"/>
    </row>
    <row r="278" spans="1:10" s="187" customFormat="1" x14ac:dyDescent="0.25">
      <c r="A278" s="188"/>
      <c r="B278" s="190"/>
      <c r="C278" s="193" t="s">
        <v>656</v>
      </c>
      <c r="D278" s="192">
        <v>0</v>
      </c>
      <c r="E278" s="192">
        <f>'Realisasi Juni'!G278</f>
        <v>1731105900</v>
      </c>
      <c r="F278" s="192"/>
      <c r="G278" s="192">
        <f>E278+F278</f>
        <v>1731105900</v>
      </c>
      <c r="H278" s="24" t="e">
        <f>G278/D278</f>
        <v>#DIV/0!</v>
      </c>
      <c r="I278" s="225"/>
      <c r="J278" s="186"/>
    </row>
    <row r="279" spans="1:10" s="187" customFormat="1" x14ac:dyDescent="0.25">
      <c r="A279" s="188"/>
      <c r="B279" s="190"/>
      <c r="C279" s="193" t="s">
        <v>657</v>
      </c>
      <c r="D279" s="192"/>
      <c r="E279" s="192">
        <f>'Realisasi Juni'!G279</f>
        <v>0</v>
      </c>
      <c r="F279" s="192"/>
      <c r="G279" s="192">
        <f>E279+F279</f>
        <v>0</v>
      </c>
      <c r="H279" s="24" t="e">
        <f>G279/D279</f>
        <v>#DIV/0!</v>
      </c>
      <c r="I279" s="225"/>
      <c r="J279" s="186"/>
    </row>
    <row r="280" spans="1:10" s="187" customFormat="1" x14ac:dyDescent="0.25">
      <c r="A280" s="188"/>
      <c r="B280" s="190"/>
      <c r="C280" s="193"/>
      <c r="D280" s="192"/>
      <c r="E280" s="192"/>
      <c r="F280" s="192"/>
      <c r="G280" s="192"/>
      <c r="H280" s="24"/>
      <c r="I280" s="225"/>
      <c r="J280" s="186"/>
    </row>
    <row r="281" spans="1:10" s="187" customFormat="1" x14ac:dyDescent="0.25">
      <c r="A281" s="188" t="s">
        <v>411</v>
      </c>
      <c r="B281" s="189" t="s">
        <v>362</v>
      </c>
      <c r="C281" s="185" t="s">
        <v>363</v>
      </c>
      <c r="D281" s="191">
        <v>1503616000</v>
      </c>
      <c r="E281" s="191">
        <f>SUM(E282:E283)</f>
        <v>676627200</v>
      </c>
      <c r="F281" s="191">
        <f t="shared" ref="F281:G281" si="94">SUM(F282:F283)</f>
        <v>0</v>
      </c>
      <c r="G281" s="191">
        <f t="shared" si="94"/>
        <v>676627200</v>
      </c>
      <c r="H281" s="236">
        <f>G281/D281</f>
        <v>0.45</v>
      </c>
      <c r="I281" s="225" t="s">
        <v>167</v>
      </c>
      <c r="J281" s="186"/>
    </row>
    <row r="282" spans="1:10" s="187" customFormat="1" x14ac:dyDescent="0.25">
      <c r="A282" s="188"/>
      <c r="B282" s="190"/>
      <c r="C282" s="193" t="s">
        <v>658</v>
      </c>
      <c r="D282" s="192"/>
      <c r="E282" s="192">
        <f>'Realisasi Juni'!G282</f>
        <v>676627200</v>
      </c>
      <c r="F282" s="192"/>
      <c r="G282" s="192">
        <f>E282+F282</f>
        <v>676627200</v>
      </c>
      <c r="H282" s="24" t="e">
        <f>G282/D282</f>
        <v>#DIV/0!</v>
      </c>
      <c r="I282" s="225"/>
      <c r="J282" s="186"/>
    </row>
    <row r="283" spans="1:10" s="187" customFormat="1" x14ac:dyDescent="0.25">
      <c r="A283" s="188"/>
      <c r="B283" s="190"/>
      <c r="C283" s="193" t="s">
        <v>659</v>
      </c>
      <c r="D283" s="192"/>
      <c r="E283" s="192">
        <f>'Realisasi Juni'!G283</f>
        <v>0</v>
      </c>
      <c r="F283" s="192"/>
      <c r="G283" s="192">
        <f>E283+F283</f>
        <v>0</v>
      </c>
      <c r="H283" s="24" t="e">
        <f>G283/D283</f>
        <v>#DIV/0!</v>
      </c>
      <c r="I283" s="225"/>
      <c r="J283" s="186"/>
    </row>
    <row r="284" spans="1:10" s="187" customFormat="1" x14ac:dyDescent="0.25">
      <c r="A284" s="188"/>
      <c r="B284" s="190"/>
      <c r="C284" s="193"/>
      <c r="D284" s="192"/>
      <c r="E284" s="192"/>
      <c r="F284" s="192"/>
      <c r="G284" s="192">
        <f t="shared" ref="G284" si="95">F284</f>
        <v>0</v>
      </c>
      <c r="H284" s="24"/>
      <c r="I284" s="225"/>
      <c r="J284" s="186"/>
    </row>
    <row r="285" spans="1:10" s="187" customFormat="1" x14ac:dyDescent="0.25">
      <c r="A285" s="188" t="s">
        <v>412</v>
      </c>
      <c r="B285" s="189" t="s">
        <v>364</v>
      </c>
      <c r="C285" s="185" t="s">
        <v>365</v>
      </c>
      <c r="D285" s="191">
        <v>8397488000</v>
      </c>
      <c r="E285" s="191">
        <f>E286+E287</f>
        <v>2519246400</v>
      </c>
      <c r="F285" s="191">
        <f t="shared" ref="F285:G285" si="96">F286+F287</f>
        <v>0</v>
      </c>
      <c r="G285" s="191">
        <f t="shared" si="96"/>
        <v>2519246400</v>
      </c>
      <c r="H285" s="236">
        <f>G285/D285</f>
        <v>0.3</v>
      </c>
      <c r="I285" s="225" t="s">
        <v>167</v>
      </c>
      <c r="J285" s="186"/>
    </row>
    <row r="286" spans="1:10" s="187" customFormat="1" x14ac:dyDescent="0.25">
      <c r="A286" s="188"/>
      <c r="B286" s="190"/>
      <c r="C286" s="193" t="s">
        <v>660</v>
      </c>
      <c r="D286" s="192"/>
      <c r="E286" s="192">
        <f>'Realisasi Juni'!G286</f>
        <v>2519246400</v>
      </c>
      <c r="F286" s="192"/>
      <c r="G286" s="192">
        <f>E286+F286</f>
        <v>2519246400</v>
      </c>
      <c r="H286" s="24" t="e">
        <f>G286/D286</f>
        <v>#DIV/0!</v>
      </c>
      <c r="I286" s="225"/>
      <c r="J286" s="186"/>
    </row>
    <row r="287" spans="1:10" s="187" customFormat="1" x14ac:dyDescent="0.25">
      <c r="A287" s="188"/>
      <c r="B287" s="190"/>
      <c r="C287" s="35" t="s">
        <v>529</v>
      </c>
      <c r="D287" s="191">
        <f>SUM(D288:D288)</f>
        <v>0</v>
      </c>
      <c r="E287" s="192">
        <f>'Realisasi Juni'!G287</f>
        <v>0</v>
      </c>
      <c r="F287" s="191">
        <f>SUM(F288:F288)</f>
        <v>0</v>
      </c>
      <c r="G287" s="192">
        <f t="shared" ref="G287:G288" si="97">E287+F287</f>
        <v>0</v>
      </c>
      <c r="H287" s="236" t="e">
        <f>G287/D287</f>
        <v>#DIV/0!</v>
      </c>
      <c r="I287" s="225"/>
      <c r="J287" s="186"/>
    </row>
    <row r="288" spans="1:10" s="187" customFormat="1" x14ac:dyDescent="0.25">
      <c r="A288" s="188"/>
      <c r="B288" s="190"/>
      <c r="C288" s="193" t="s">
        <v>661</v>
      </c>
      <c r="D288" s="192"/>
      <c r="E288" s="192">
        <f>'Realisasi April'!G283</f>
        <v>0</v>
      </c>
      <c r="F288" s="192"/>
      <c r="G288" s="192">
        <f t="shared" si="97"/>
        <v>0</v>
      </c>
      <c r="H288" s="24" t="e">
        <f>G288/D288</f>
        <v>#DIV/0!</v>
      </c>
      <c r="I288" s="225"/>
      <c r="J288" s="186"/>
    </row>
    <row r="289" spans="1:10" s="187" customFormat="1" x14ac:dyDescent="0.25">
      <c r="A289" s="188"/>
      <c r="B289" s="190"/>
      <c r="C289" s="193"/>
      <c r="D289" s="192"/>
      <c r="E289" s="192"/>
      <c r="F289" s="192"/>
      <c r="G289" s="192"/>
      <c r="H289" s="24"/>
      <c r="I289" s="225"/>
      <c r="J289" s="186"/>
    </row>
    <row r="290" spans="1:10" s="187" customFormat="1" hidden="1" x14ac:dyDescent="0.25">
      <c r="A290" s="188" t="s">
        <v>464</v>
      </c>
      <c r="B290" s="189" t="s">
        <v>466</v>
      </c>
      <c r="C290" s="185" t="s">
        <v>467</v>
      </c>
      <c r="D290" s="191">
        <f>SUM(D291)</f>
        <v>0</v>
      </c>
      <c r="E290" s="191"/>
      <c r="F290" s="191">
        <f t="shared" ref="F290:G290" si="98">SUM(F291:F292)</f>
        <v>0</v>
      </c>
      <c r="G290" s="191" t="e">
        <f t="shared" si="98"/>
        <v>#REF!</v>
      </c>
      <c r="H290" s="24"/>
      <c r="I290" s="225"/>
      <c r="J290" s="186"/>
    </row>
    <row r="291" spans="1:10" s="187" customFormat="1" hidden="1" x14ac:dyDescent="0.25">
      <c r="A291" s="188"/>
      <c r="B291" s="190"/>
      <c r="C291" s="193" t="s">
        <v>487</v>
      </c>
      <c r="D291" s="192">
        <v>0</v>
      </c>
      <c r="E291" s="192"/>
      <c r="F291" s="192">
        <v>0</v>
      </c>
      <c r="G291" s="192" t="e">
        <f>#REF!+F291</f>
        <v>#REF!</v>
      </c>
      <c r="H291" s="24"/>
      <c r="I291" s="225"/>
      <c r="J291" s="186"/>
    </row>
    <row r="292" spans="1:10" s="187" customFormat="1" hidden="1" x14ac:dyDescent="0.25">
      <c r="A292" s="188"/>
      <c r="B292" s="190"/>
      <c r="C292" s="193"/>
      <c r="D292" s="192"/>
      <c r="E292" s="192"/>
      <c r="F292" s="192"/>
      <c r="G292" s="192"/>
      <c r="H292" s="24"/>
      <c r="I292" s="225"/>
      <c r="J292" s="186"/>
    </row>
    <row r="293" spans="1:10" s="187" customFormat="1" x14ac:dyDescent="0.25">
      <c r="A293" s="188" t="s">
        <v>465</v>
      </c>
      <c r="B293" s="189" t="s">
        <v>366</v>
      </c>
      <c r="C293" s="185" t="s">
        <v>367</v>
      </c>
      <c r="D293" s="191">
        <v>1918826000</v>
      </c>
      <c r="E293" s="191">
        <f>E294</f>
        <v>575647800</v>
      </c>
      <c r="F293" s="191">
        <f t="shared" ref="F293:G293" si="99">F294+F295</f>
        <v>0</v>
      </c>
      <c r="G293" s="191">
        <f t="shared" si="99"/>
        <v>575647800</v>
      </c>
      <c r="H293" s="236">
        <f>G293/D293</f>
        <v>0.3</v>
      </c>
      <c r="I293" s="225" t="s">
        <v>167</v>
      </c>
      <c r="J293" s="186"/>
    </row>
    <row r="294" spans="1:10" s="187" customFormat="1" x14ac:dyDescent="0.25">
      <c r="A294" s="188"/>
      <c r="B294" s="190"/>
      <c r="C294" s="193" t="s">
        <v>662</v>
      </c>
      <c r="D294" s="192"/>
      <c r="E294" s="192">
        <f>'Realisasi Juni'!G294</f>
        <v>575647800</v>
      </c>
      <c r="F294" s="192"/>
      <c r="G294" s="192">
        <f>E294+F294</f>
        <v>575647800</v>
      </c>
      <c r="H294" s="24" t="e">
        <f>G294/D294</f>
        <v>#DIV/0!</v>
      </c>
      <c r="I294" s="225"/>
      <c r="J294" s="186"/>
    </row>
    <row r="295" spans="1:10" s="187" customFormat="1" x14ac:dyDescent="0.25">
      <c r="A295" s="188"/>
      <c r="B295" s="190"/>
      <c r="C295" s="35" t="s">
        <v>530</v>
      </c>
      <c r="D295" s="191">
        <f>SUM(D296:D296)</f>
        <v>0</v>
      </c>
      <c r="E295" s="192">
        <f>'Realisasi Juni'!G295</f>
        <v>0</v>
      </c>
      <c r="F295" s="191">
        <f>SUM(F296:F296)</f>
        <v>0</v>
      </c>
      <c r="G295" s="191">
        <f>SUM(G296:G296)</f>
        <v>0</v>
      </c>
      <c r="H295" s="236" t="e">
        <f>G295/D295</f>
        <v>#DIV/0!</v>
      </c>
      <c r="I295" s="225"/>
      <c r="J295" s="186"/>
    </row>
    <row r="296" spans="1:10" s="187" customFormat="1" x14ac:dyDescent="0.25">
      <c r="A296" s="188"/>
      <c r="B296" s="190"/>
      <c r="C296" s="193" t="s">
        <v>663</v>
      </c>
      <c r="D296" s="192"/>
      <c r="E296" s="192">
        <f>'Realisasi April'!G291</f>
        <v>0</v>
      </c>
      <c r="F296" s="192"/>
      <c r="G296" s="192">
        <f>E296+F296</f>
        <v>0</v>
      </c>
      <c r="H296" s="24" t="e">
        <f>G296/D296</f>
        <v>#DIV/0!</v>
      </c>
      <c r="I296" s="225"/>
      <c r="J296" s="186"/>
    </row>
    <row r="297" spans="1:10" s="176" customFormat="1" x14ac:dyDescent="0.25">
      <c r="A297" s="27"/>
      <c r="B297" s="178"/>
      <c r="C297" s="183"/>
      <c r="D297" s="192"/>
      <c r="E297" s="192"/>
      <c r="F297" s="192"/>
      <c r="G297" s="191"/>
      <c r="H297" s="236"/>
      <c r="I297" s="224"/>
      <c r="J297" s="175"/>
    </row>
    <row r="298" spans="1:10" s="176" customFormat="1" x14ac:dyDescent="0.25">
      <c r="A298" s="138" t="s">
        <v>169</v>
      </c>
      <c r="B298" s="139" t="s">
        <v>368</v>
      </c>
      <c r="C298" s="140" t="s">
        <v>369</v>
      </c>
      <c r="D298" s="142">
        <v>429554051000</v>
      </c>
      <c r="E298" s="142">
        <f>'Realisasi Juni'!G298</f>
        <v>248761396138</v>
      </c>
      <c r="F298" s="142">
        <v>35796170000</v>
      </c>
      <c r="G298" s="141">
        <f>E298+F298</f>
        <v>284557566138</v>
      </c>
      <c r="H298" s="240">
        <f>G298/D298</f>
        <v>0.66244880120569505</v>
      </c>
      <c r="I298" s="225" t="s">
        <v>468</v>
      </c>
      <c r="J298" s="175"/>
    </row>
    <row r="299" spans="1:10" s="176" customFormat="1" x14ac:dyDescent="0.25">
      <c r="A299" s="27"/>
      <c r="B299" s="178"/>
      <c r="C299" s="39"/>
      <c r="D299" s="38"/>
      <c r="E299" s="38"/>
      <c r="F299" s="38"/>
      <c r="G299" s="38"/>
      <c r="H299" s="241"/>
      <c r="I299" s="225"/>
      <c r="J299" s="175"/>
    </row>
    <row r="300" spans="1:10" s="176" customFormat="1" x14ac:dyDescent="0.25">
      <c r="A300" s="138" t="s">
        <v>170</v>
      </c>
      <c r="B300" s="139" t="s">
        <v>370</v>
      </c>
      <c r="C300" s="140" t="s">
        <v>371</v>
      </c>
      <c r="D300" s="141">
        <f>SUM(D302+D355+D332)</f>
        <v>62721068973</v>
      </c>
      <c r="E300" s="141">
        <f>SUM(E302+E355+E332)</f>
        <v>11232378363</v>
      </c>
      <c r="F300" s="141">
        <f>SUM(F302+F355+F332)</f>
        <v>8316943882</v>
      </c>
      <c r="G300" s="141">
        <f>SUM(G302+G355+G332)</f>
        <v>19549322245</v>
      </c>
      <c r="H300" s="240">
        <f>G300/D300</f>
        <v>0.31168668782439823</v>
      </c>
      <c r="I300" s="225" t="s">
        <v>469</v>
      </c>
      <c r="J300" s="175"/>
    </row>
    <row r="301" spans="1:10" s="176" customFormat="1" x14ac:dyDescent="0.25">
      <c r="A301" s="40"/>
      <c r="B301" s="22"/>
      <c r="C301" s="185"/>
      <c r="D301" s="191"/>
      <c r="E301" s="191"/>
      <c r="F301" s="191"/>
      <c r="G301" s="191"/>
      <c r="H301" s="236"/>
      <c r="I301" s="224"/>
      <c r="J301" s="175"/>
    </row>
    <row r="302" spans="1:10" s="176" customFormat="1" ht="38.25" customHeight="1" x14ac:dyDescent="0.25">
      <c r="A302" s="293"/>
      <c r="B302" s="262" t="s">
        <v>413</v>
      </c>
      <c r="C302" s="41" t="s">
        <v>171</v>
      </c>
      <c r="D302" s="42">
        <f>SUM(D309+D316+D318+D320+D322+D324+D326+D303+D329)</f>
        <v>62721068973</v>
      </c>
      <c r="E302" s="42">
        <f>SUM(E309+E316+E318+E320+E322+E324+E326+E303+E329)</f>
        <v>11232378363</v>
      </c>
      <c r="F302" s="42">
        <f>SUM(F309+F316+F318+F320+F322+F324+F326+F303+F329)</f>
        <v>8316943882</v>
      </c>
      <c r="G302" s="42">
        <f>G303+G309+G320+G322+G326+G329</f>
        <v>19549322245</v>
      </c>
      <c r="H302" s="237">
        <f t="shared" ref="H302:H325" si="100">G302/D302</f>
        <v>0.31168668782439823</v>
      </c>
      <c r="I302" s="225" t="s">
        <v>470</v>
      </c>
      <c r="J302" s="175"/>
    </row>
    <row r="303" spans="1:10" s="176" customFormat="1" x14ac:dyDescent="0.25">
      <c r="A303" s="40"/>
      <c r="B303" s="43">
        <v>1</v>
      </c>
      <c r="C303" s="185" t="s">
        <v>172</v>
      </c>
      <c r="D303" s="191">
        <f>SUM(D304:D308)</f>
        <v>23287427000</v>
      </c>
      <c r="E303" s="191">
        <f t="shared" ref="E303:G303" si="101">SUM(E304:E308)</f>
        <v>9161027500</v>
      </c>
      <c r="F303" s="191">
        <f t="shared" si="101"/>
        <v>302130900</v>
      </c>
      <c r="G303" s="191">
        <f t="shared" si="101"/>
        <v>9463158400</v>
      </c>
      <c r="H303" s="236">
        <f t="shared" si="100"/>
        <v>0.40636341661962055</v>
      </c>
      <c r="I303" s="225"/>
      <c r="J303" s="175"/>
    </row>
    <row r="304" spans="1:10" s="176" customFormat="1" x14ac:dyDescent="0.25">
      <c r="A304" s="40"/>
      <c r="B304" s="190" t="s">
        <v>531</v>
      </c>
      <c r="C304" s="193" t="s">
        <v>173</v>
      </c>
      <c r="D304" s="192">
        <v>1376396000</v>
      </c>
      <c r="E304" s="192">
        <f>'Realisasi Juni'!G304</f>
        <v>262849000</v>
      </c>
      <c r="F304" s="192"/>
      <c r="G304" s="192">
        <f>E304+F304</f>
        <v>262849000</v>
      </c>
      <c r="H304" s="24">
        <f t="shared" si="100"/>
        <v>0.19096902344964675</v>
      </c>
      <c r="I304" s="225" t="s">
        <v>471</v>
      </c>
      <c r="J304" s="175"/>
    </row>
    <row r="305" spans="1:10" s="176" customFormat="1" x14ac:dyDescent="0.25">
      <c r="A305" s="40"/>
      <c r="B305" s="190" t="s">
        <v>532</v>
      </c>
      <c r="C305" s="193" t="s">
        <v>174</v>
      </c>
      <c r="D305" s="192">
        <v>10775078000</v>
      </c>
      <c r="E305" s="192">
        <f>'Realisasi Juni'!G305</f>
        <v>6103282500</v>
      </c>
      <c r="F305" s="192"/>
      <c r="G305" s="192">
        <f t="shared" ref="G305:G308" si="102">E305+F305</f>
        <v>6103282500</v>
      </c>
      <c r="H305" s="24">
        <f t="shared" si="100"/>
        <v>0.56642583004967573</v>
      </c>
      <c r="I305" s="225" t="s">
        <v>471</v>
      </c>
      <c r="J305" s="175"/>
    </row>
    <row r="306" spans="1:10" s="176" customFormat="1" x14ac:dyDescent="0.25">
      <c r="A306" s="40"/>
      <c r="B306" s="190" t="s">
        <v>533</v>
      </c>
      <c r="C306" s="193" t="s">
        <v>175</v>
      </c>
      <c r="D306" s="192">
        <v>10360454000</v>
      </c>
      <c r="E306" s="192">
        <f>'Realisasi Juni'!G306</f>
        <v>2324011000</v>
      </c>
      <c r="F306" s="192"/>
      <c r="G306" s="192">
        <f t="shared" si="102"/>
        <v>2324011000</v>
      </c>
      <c r="H306" s="24">
        <f t="shared" si="100"/>
        <v>0.22431555605574813</v>
      </c>
      <c r="I306" s="225" t="s">
        <v>471</v>
      </c>
      <c r="J306" s="175"/>
    </row>
    <row r="307" spans="1:10" s="176" customFormat="1" x14ac:dyDescent="0.25">
      <c r="A307" s="40"/>
      <c r="B307" s="190"/>
      <c r="C307" s="193" t="s">
        <v>684</v>
      </c>
      <c r="D307" s="192">
        <v>470885000</v>
      </c>
      <c r="E307" s="192">
        <f>'Realisasi Juni'!G307</f>
        <v>470885000</v>
      </c>
      <c r="F307" s="192"/>
      <c r="G307" s="192">
        <f t="shared" si="102"/>
        <v>470885000</v>
      </c>
      <c r="H307" s="24">
        <f t="shared" si="100"/>
        <v>1</v>
      </c>
      <c r="I307" s="225"/>
      <c r="J307" s="175"/>
    </row>
    <row r="308" spans="1:10" s="176" customFormat="1" x14ac:dyDescent="0.25">
      <c r="A308" s="40"/>
      <c r="B308" s="190" t="s">
        <v>534</v>
      </c>
      <c r="C308" s="193" t="s">
        <v>176</v>
      </c>
      <c r="D308" s="192">
        <v>304614000</v>
      </c>
      <c r="E308" s="192">
        <f>'Realisasi Juni'!G308</f>
        <v>0</v>
      </c>
      <c r="F308" s="181">
        <v>302130900</v>
      </c>
      <c r="G308" s="192">
        <f t="shared" si="102"/>
        <v>302130900</v>
      </c>
      <c r="H308" s="24">
        <f t="shared" si="100"/>
        <v>0.99184837203805476</v>
      </c>
      <c r="I308" s="225" t="s">
        <v>471</v>
      </c>
      <c r="J308" s="175"/>
    </row>
    <row r="309" spans="1:10" s="176" customFormat="1" x14ac:dyDescent="0.25">
      <c r="A309" s="40"/>
      <c r="B309" s="43">
        <v>2</v>
      </c>
      <c r="C309" s="185" t="s">
        <v>177</v>
      </c>
      <c r="D309" s="191">
        <f>SUM(D310:D315)</f>
        <v>21101016973</v>
      </c>
      <c r="E309" s="191">
        <f t="shared" ref="E309:G309" si="103">SUM(E310:E315)</f>
        <v>236299613</v>
      </c>
      <c r="F309" s="191">
        <f t="shared" si="103"/>
        <v>5266707982</v>
      </c>
      <c r="G309" s="191">
        <f t="shared" si="103"/>
        <v>5503007595</v>
      </c>
      <c r="H309" s="236">
        <f t="shared" si="100"/>
        <v>0.2607934774916974</v>
      </c>
      <c r="I309" s="225"/>
      <c r="J309" s="175"/>
    </row>
    <row r="310" spans="1:10" s="176" customFormat="1" x14ac:dyDescent="0.25">
      <c r="A310" s="40"/>
      <c r="B310" s="190" t="s">
        <v>535</v>
      </c>
      <c r="C310" s="193" t="s">
        <v>178</v>
      </c>
      <c r="D310" s="299">
        <v>0</v>
      </c>
      <c r="E310" s="192">
        <f>'Realisasi Juni'!G310</f>
        <v>0</v>
      </c>
      <c r="F310" s="192">
        <v>0</v>
      </c>
      <c r="G310" s="192">
        <f>E310+F310</f>
        <v>0</v>
      </c>
      <c r="H310" s="24" t="e">
        <f t="shared" si="100"/>
        <v>#DIV/0!</v>
      </c>
      <c r="I310" s="225" t="s">
        <v>471</v>
      </c>
      <c r="J310" s="175"/>
    </row>
    <row r="311" spans="1:10" s="176" customFormat="1" x14ac:dyDescent="0.25">
      <c r="A311" s="40"/>
      <c r="B311" s="190" t="s">
        <v>536</v>
      </c>
      <c r="C311" s="193" t="s">
        <v>372</v>
      </c>
      <c r="D311" s="192"/>
      <c r="E311" s="192">
        <f>'Realisasi Juni'!G311</f>
        <v>0</v>
      </c>
      <c r="F311" s="192"/>
      <c r="G311" s="192">
        <f t="shared" ref="G311:G323" si="104">E311+F311</f>
        <v>0</v>
      </c>
      <c r="H311" s="24" t="e">
        <f t="shared" si="100"/>
        <v>#DIV/0!</v>
      </c>
      <c r="I311" s="225" t="s">
        <v>471</v>
      </c>
      <c r="J311" s="175"/>
    </row>
    <row r="312" spans="1:10" s="176" customFormat="1" x14ac:dyDescent="0.25">
      <c r="A312" s="40"/>
      <c r="B312" s="190" t="s">
        <v>537</v>
      </c>
      <c r="C312" s="193" t="s">
        <v>179</v>
      </c>
      <c r="D312" s="192">
        <v>2892701000</v>
      </c>
      <c r="E312" s="192">
        <f>'Realisasi Juni'!G312</f>
        <v>236299613</v>
      </c>
      <c r="F312" s="181">
        <v>64487500</v>
      </c>
      <c r="G312" s="192">
        <f t="shared" si="104"/>
        <v>300787113</v>
      </c>
      <c r="H312" s="24">
        <f t="shared" si="100"/>
        <v>0.10398140457655319</v>
      </c>
      <c r="I312" s="225" t="s">
        <v>471</v>
      </c>
      <c r="J312" s="175"/>
    </row>
    <row r="313" spans="1:10" s="176" customFormat="1" x14ac:dyDescent="0.25">
      <c r="A313" s="40"/>
      <c r="B313" s="190" t="s">
        <v>538</v>
      </c>
      <c r="C313" s="193" t="s">
        <v>180</v>
      </c>
      <c r="D313" s="192">
        <v>12902970863</v>
      </c>
      <c r="E313" s="192">
        <f>'Realisasi Juni'!G313</f>
        <v>0</v>
      </c>
      <c r="F313" s="181">
        <f>3735576684+24050000+87749498</f>
        <v>3847376182</v>
      </c>
      <c r="G313" s="192">
        <f t="shared" si="104"/>
        <v>3847376182</v>
      </c>
      <c r="H313" s="24">
        <f t="shared" si="100"/>
        <v>0.2981775455319805</v>
      </c>
      <c r="I313" s="225" t="s">
        <v>471</v>
      </c>
      <c r="J313" s="175"/>
    </row>
    <row r="314" spans="1:10" s="176" customFormat="1" x14ac:dyDescent="0.25">
      <c r="A314" s="40"/>
      <c r="B314" s="190" t="s">
        <v>373</v>
      </c>
      <c r="C314" s="193" t="s">
        <v>181</v>
      </c>
      <c r="D314" s="192">
        <v>5305345110</v>
      </c>
      <c r="E314" s="192">
        <f>'Realisasi Juni'!G314</f>
        <v>0</v>
      </c>
      <c r="F314" s="192"/>
      <c r="G314" s="192">
        <f t="shared" si="104"/>
        <v>0</v>
      </c>
      <c r="H314" s="24">
        <f t="shared" si="100"/>
        <v>0</v>
      </c>
      <c r="I314" s="225" t="s">
        <v>471</v>
      </c>
      <c r="J314" s="175"/>
    </row>
    <row r="315" spans="1:10" s="176" customFormat="1" x14ac:dyDescent="0.25">
      <c r="A315" s="40"/>
      <c r="B315" s="190"/>
      <c r="C315" s="193" t="s">
        <v>706</v>
      </c>
      <c r="D315" s="192"/>
      <c r="E315" s="192"/>
      <c r="F315" s="181">
        <f>719994500+634849800</f>
        <v>1354844300</v>
      </c>
      <c r="G315" s="192">
        <f t="shared" si="104"/>
        <v>1354844300</v>
      </c>
      <c r="H315" s="24" t="e">
        <f t="shared" si="100"/>
        <v>#DIV/0!</v>
      </c>
      <c r="I315" s="225"/>
      <c r="J315" s="175"/>
    </row>
    <row r="316" spans="1:10" s="176" customFormat="1" x14ac:dyDescent="0.25">
      <c r="A316" s="40"/>
      <c r="B316" s="43">
        <v>3</v>
      </c>
      <c r="C316" s="185" t="s">
        <v>182</v>
      </c>
      <c r="D316" s="191">
        <f>SUM(D317:D317)</f>
        <v>0</v>
      </c>
      <c r="E316" s="191"/>
      <c r="F316" s="191"/>
      <c r="G316" s="192">
        <f t="shared" si="104"/>
        <v>0</v>
      </c>
      <c r="H316" s="24" t="e">
        <f t="shared" si="100"/>
        <v>#DIV/0!</v>
      </c>
      <c r="I316" s="224"/>
      <c r="J316" s="175"/>
    </row>
    <row r="317" spans="1:10" s="176" customFormat="1" x14ac:dyDescent="0.25">
      <c r="A317" s="40"/>
      <c r="B317" s="44"/>
      <c r="C317" s="193" t="s">
        <v>183</v>
      </c>
      <c r="D317" s="192">
        <v>0</v>
      </c>
      <c r="E317" s="192"/>
      <c r="F317" s="192"/>
      <c r="G317" s="192">
        <f t="shared" si="104"/>
        <v>0</v>
      </c>
      <c r="H317" s="24" t="e">
        <f t="shared" si="100"/>
        <v>#DIV/0!</v>
      </c>
      <c r="I317" s="223"/>
      <c r="J317" s="175"/>
    </row>
    <row r="318" spans="1:10" s="176" customFormat="1" x14ac:dyDescent="0.25">
      <c r="A318" s="40"/>
      <c r="B318" s="43">
        <v>4</v>
      </c>
      <c r="C318" s="185" t="s">
        <v>184</v>
      </c>
      <c r="D318" s="191">
        <f>SUM(D319:D319)</f>
        <v>0</v>
      </c>
      <c r="E318" s="191"/>
      <c r="F318" s="191"/>
      <c r="G318" s="192">
        <f t="shared" si="104"/>
        <v>0</v>
      </c>
      <c r="H318" s="24" t="e">
        <f t="shared" si="100"/>
        <v>#DIV/0!</v>
      </c>
      <c r="I318" s="223"/>
      <c r="J318" s="175"/>
    </row>
    <row r="319" spans="1:10" s="176" customFormat="1" x14ac:dyDescent="0.25">
      <c r="A319" s="40"/>
      <c r="B319" s="44"/>
      <c r="C319" s="193" t="s">
        <v>185</v>
      </c>
      <c r="D319" s="192">
        <v>0</v>
      </c>
      <c r="E319" s="192"/>
      <c r="F319" s="192"/>
      <c r="G319" s="192">
        <f t="shared" si="104"/>
        <v>0</v>
      </c>
      <c r="H319" s="24" t="e">
        <f t="shared" si="100"/>
        <v>#DIV/0!</v>
      </c>
      <c r="I319" s="223"/>
      <c r="J319" s="175"/>
    </row>
    <row r="320" spans="1:10" s="176" customFormat="1" x14ac:dyDescent="0.25">
      <c r="A320" s="40"/>
      <c r="B320" s="43">
        <v>3</v>
      </c>
      <c r="C320" s="35" t="s">
        <v>186</v>
      </c>
      <c r="D320" s="191">
        <f>SUM(D321:D321)</f>
        <v>4803838000</v>
      </c>
      <c r="E320" s="191">
        <f t="shared" ref="E320:G320" si="105">SUM(E321:E321)</f>
        <v>0</v>
      </c>
      <c r="F320" s="191">
        <f>SUM(F321:F321)</f>
        <v>1200959500</v>
      </c>
      <c r="G320" s="191">
        <f t="shared" si="105"/>
        <v>1200959500</v>
      </c>
      <c r="H320" s="236">
        <f t="shared" si="100"/>
        <v>0.25</v>
      </c>
      <c r="I320" s="223"/>
      <c r="J320" s="175"/>
    </row>
    <row r="321" spans="1:10" s="176" customFormat="1" x14ac:dyDescent="0.25">
      <c r="A321" s="40"/>
      <c r="B321" s="190" t="s">
        <v>374</v>
      </c>
      <c r="C321" s="193" t="s">
        <v>187</v>
      </c>
      <c r="D321" s="192">
        <v>4803838000</v>
      </c>
      <c r="E321" s="192">
        <f>'Realisasi Juni'!G320</f>
        <v>0</v>
      </c>
      <c r="F321" s="181">
        <v>1200959500</v>
      </c>
      <c r="G321" s="192">
        <f t="shared" si="104"/>
        <v>1200959500</v>
      </c>
      <c r="H321" s="24">
        <f t="shared" si="100"/>
        <v>0.25</v>
      </c>
      <c r="I321" s="225"/>
      <c r="J321" s="175"/>
    </row>
    <row r="322" spans="1:10" s="176" customFormat="1" x14ac:dyDescent="0.25">
      <c r="A322" s="40"/>
      <c r="B322" s="43">
        <v>4</v>
      </c>
      <c r="C322" s="185" t="s">
        <v>188</v>
      </c>
      <c r="D322" s="191">
        <f>SUM(D323)</f>
        <v>6188582000</v>
      </c>
      <c r="E322" s="191">
        <f t="shared" ref="E322:G322" si="106">SUM(E323)</f>
        <v>0</v>
      </c>
      <c r="F322" s="191">
        <f>SUM(F323)</f>
        <v>1547145500</v>
      </c>
      <c r="G322" s="191">
        <f t="shared" si="106"/>
        <v>1547145500</v>
      </c>
      <c r="H322" s="236">
        <f t="shared" si="100"/>
        <v>0.25</v>
      </c>
      <c r="I322" s="223"/>
      <c r="J322" s="175"/>
    </row>
    <row r="323" spans="1:10" s="176" customFormat="1" x14ac:dyDescent="0.25">
      <c r="A323" s="40"/>
      <c r="B323" s="190" t="s">
        <v>375</v>
      </c>
      <c r="C323" s="193" t="s">
        <v>189</v>
      </c>
      <c r="D323" s="192">
        <v>6188582000</v>
      </c>
      <c r="E323" s="192"/>
      <c r="F323" s="181">
        <v>1547145500</v>
      </c>
      <c r="G323" s="192">
        <f t="shared" si="104"/>
        <v>1547145500</v>
      </c>
      <c r="H323" s="24">
        <f t="shared" si="100"/>
        <v>0.25</v>
      </c>
      <c r="I323" s="225"/>
      <c r="J323" s="175"/>
    </row>
    <row r="324" spans="1:10" s="176" customFormat="1" hidden="1" x14ac:dyDescent="0.25">
      <c r="A324" s="40"/>
      <c r="B324" s="43">
        <v>5</v>
      </c>
      <c r="C324" s="185" t="s">
        <v>190</v>
      </c>
      <c r="D324" s="191">
        <f>SUM(D325)</f>
        <v>0</v>
      </c>
      <c r="E324" s="191"/>
      <c r="F324" s="191">
        <f>SUM(F325)</f>
        <v>0</v>
      </c>
      <c r="G324" s="192" t="e">
        <f>#REF!+F324</f>
        <v>#REF!</v>
      </c>
      <c r="H324" s="24" t="e">
        <f t="shared" si="100"/>
        <v>#REF!</v>
      </c>
      <c r="I324" s="224"/>
      <c r="J324" s="175"/>
    </row>
    <row r="325" spans="1:10" s="176" customFormat="1" hidden="1" x14ac:dyDescent="0.25">
      <c r="A325" s="40"/>
      <c r="B325" s="44"/>
      <c r="C325" s="193" t="s">
        <v>191</v>
      </c>
      <c r="D325" s="192">
        <v>0</v>
      </c>
      <c r="E325" s="192"/>
      <c r="F325" s="192">
        <v>0</v>
      </c>
      <c r="G325" s="192" t="e">
        <f>#REF!+F325</f>
        <v>#REF!</v>
      </c>
      <c r="H325" s="24" t="e">
        <f t="shared" si="100"/>
        <v>#REF!</v>
      </c>
      <c r="I325" s="223"/>
      <c r="J325" s="175"/>
    </row>
    <row r="326" spans="1:10" s="176" customFormat="1" x14ac:dyDescent="0.25">
      <c r="A326" s="40"/>
      <c r="B326" s="43">
        <v>5</v>
      </c>
      <c r="C326" s="185" t="s">
        <v>192</v>
      </c>
      <c r="D326" s="191">
        <f>SUM(D327:D328)</f>
        <v>0</v>
      </c>
      <c r="E326" s="191">
        <f t="shared" ref="E326:G326" si="107">SUM(E327:E328)</f>
        <v>0</v>
      </c>
      <c r="F326" s="191">
        <f t="shared" si="107"/>
        <v>0</v>
      </c>
      <c r="G326" s="191">
        <f t="shared" si="107"/>
        <v>0</v>
      </c>
      <c r="H326" s="236" t="e">
        <f>G326/D326</f>
        <v>#DIV/0!</v>
      </c>
      <c r="I326" s="223"/>
      <c r="J326" s="175"/>
    </row>
    <row r="327" spans="1:10" s="176" customFormat="1" x14ac:dyDescent="0.25">
      <c r="A327" s="40"/>
      <c r="B327" s="190" t="s">
        <v>539</v>
      </c>
      <c r="C327" s="193" t="s">
        <v>193</v>
      </c>
      <c r="D327" s="192"/>
      <c r="E327" s="192"/>
      <c r="F327" s="192"/>
      <c r="G327" s="192">
        <f>E327+F327</f>
        <v>0</v>
      </c>
      <c r="H327" s="24" t="e">
        <f>G327/D327</f>
        <v>#DIV/0!</v>
      </c>
      <c r="I327" s="225" t="s">
        <v>470</v>
      </c>
      <c r="J327" s="175"/>
    </row>
    <row r="328" spans="1:10" s="176" customFormat="1" x14ac:dyDescent="0.25">
      <c r="A328" s="40"/>
      <c r="B328" s="190" t="s">
        <v>540</v>
      </c>
      <c r="C328" s="193" t="s">
        <v>194</v>
      </c>
      <c r="D328" s="192"/>
      <c r="E328" s="192"/>
      <c r="F328" s="192"/>
      <c r="G328" s="192">
        <f>E328+F328</f>
        <v>0</v>
      </c>
      <c r="H328" s="24" t="e">
        <f>G328/D328</f>
        <v>#DIV/0!</v>
      </c>
      <c r="I328" s="225" t="s">
        <v>470</v>
      </c>
      <c r="J328" s="175"/>
    </row>
    <row r="329" spans="1:10" s="176" customFormat="1" x14ac:dyDescent="0.25">
      <c r="A329" s="40"/>
      <c r="B329" s="43">
        <v>6</v>
      </c>
      <c r="C329" s="170" t="s">
        <v>206</v>
      </c>
      <c r="D329" s="191">
        <f>D330</f>
        <v>7340205000</v>
      </c>
      <c r="E329" s="191">
        <f t="shared" ref="E329:G329" si="108">E330</f>
        <v>1835051250</v>
      </c>
      <c r="F329" s="191">
        <f t="shared" si="108"/>
        <v>0</v>
      </c>
      <c r="G329" s="191">
        <f t="shared" si="108"/>
        <v>1835051250</v>
      </c>
      <c r="H329" s="236">
        <f>G329/D329</f>
        <v>0.25</v>
      </c>
      <c r="I329" s="225"/>
      <c r="J329" s="175"/>
    </row>
    <row r="330" spans="1:10" s="176" customFormat="1" x14ac:dyDescent="0.25">
      <c r="A330" s="40"/>
      <c r="B330" s="190"/>
      <c r="C330" s="48" t="s">
        <v>210</v>
      </c>
      <c r="D330" s="192">
        <v>7340205000</v>
      </c>
      <c r="E330" s="192">
        <f>'Realisasi Juni'!G329</f>
        <v>1835051250</v>
      </c>
      <c r="F330" s="192"/>
      <c r="G330" s="192">
        <f>E330+F330</f>
        <v>1835051250</v>
      </c>
      <c r="H330" s="24">
        <f>G330/D330</f>
        <v>0.25</v>
      </c>
      <c r="I330" s="225"/>
      <c r="J330" s="175"/>
    </row>
    <row r="331" spans="1:10" s="176" customFormat="1" x14ac:dyDescent="0.25">
      <c r="A331" s="40"/>
      <c r="B331" s="178"/>
      <c r="C331" s="183"/>
      <c r="D331" s="192"/>
      <c r="E331" s="192"/>
      <c r="F331" s="192"/>
      <c r="G331" s="191"/>
      <c r="H331" s="236"/>
      <c r="I331" s="224"/>
      <c r="J331" s="175"/>
    </row>
    <row r="332" spans="1:10" s="176" customFormat="1" ht="37.5" hidden="1" customHeight="1" x14ac:dyDescent="0.25">
      <c r="A332" s="293"/>
      <c r="B332" s="262" t="s">
        <v>414</v>
      </c>
      <c r="C332" s="45" t="s">
        <v>195</v>
      </c>
      <c r="D332" s="42">
        <f>SUM(D333+D342+D344+D346+D348+D350+D352)</f>
        <v>0</v>
      </c>
      <c r="E332" s="42"/>
      <c r="F332" s="42">
        <f>SUM(F333+F342+F344+F346+F348+F350+F352)</f>
        <v>0</v>
      </c>
      <c r="G332" s="42">
        <f>SUM(G333+G342+G344+G346+G348+G350+G352)</f>
        <v>0</v>
      </c>
      <c r="H332" s="237" t="e">
        <f>G332/D332</f>
        <v>#DIV/0!</v>
      </c>
      <c r="I332" s="225" t="s">
        <v>469</v>
      </c>
      <c r="J332" s="175"/>
    </row>
    <row r="333" spans="1:10" s="176" customFormat="1" hidden="1" x14ac:dyDescent="0.25">
      <c r="A333" s="40"/>
      <c r="B333" s="43">
        <v>1</v>
      </c>
      <c r="C333" s="185" t="s">
        <v>177</v>
      </c>
      <c r="D333" s="191">
        <f>SUM(D335:D340)</f>
        <v>0</v>
      </c>
      <c r="E333" s="191">
        <f>SUM(E335:E340)</f>
        <v>0</v>
      </c>
      <c r="F333" s="191">
        <f>SUM(F335:F340)</f>
        <v>0</v>
      </c>
      <c r="G333" s="191">
        <f>SUM(G335:G340)</f>
        <v>0</v>
      </c>
      <c r="H333" s="236" t="e">
        <f>G333/D333</f>
        <v>#DIV/0!</v>
      </c>
      <c r="I333" s="225"/>
      <c r="J333" s="175"/>
    </row>
    <row r="334" spans="1:10" s="176" customFormat="1" hidden="1" x14ac:dyDescent="0.25">
      <c r="A334" s="40"/>
      <c r="B334" s="44"/>
      <c r="C334" s="193" t="s">
        <v>196</v>
      </c>
      <c r="D334" s="192">
        <v>0</v>
      </c>
      <c r="E334" s="192"/>
      <c r="F334" s="192">
        <v>0</v>
      </c>
      <c r="G334" s="191" t="e">
        <f>#REF!+F334</f>
        <v>#REF!</v>
      </c>
      <c r="H334" s="236" t="e">
        <f t="shared" ref="H334:H339" si="109">G334/D334</f>
        <v>#REF!</v>
      </c>
      <c r="I334" s="223"/>
      <c r="J334" s="175"/>
    </row>
    <row r="335" spans="1:10" s="176" customFormat="1" hidden="1" x14ac:dyDescent="0.25">
      <c r="A335" s="40"/>
      <c r="B335" s="190" t="s">
        <v>388</v>
      </c>
      <c r="C335" s="193" t="s">
        <v>197</v>
      </c>
      <c r="D335" s="192">
        <v>0</v>
      </c>
      <c r="E335" s="192"/>
      <c r="F335" s="192">
        <v>0</v>
      </c>
      <c r="G335" s="192">
        <f>E335+F335</f>
        <v>0</v>
      </c>
      <c r="H335" s="24" t="e">
        <f t="shared" si="109"/>
        <v>#DIV/0!</v>
      </c>
      <c r="I335" s="225"/>
      <c r="J335" s="175"/>
    </row>
    <row r="336" spans="1:10" s="176" customFormat="1" ht="18" hidden="1" customHeight="1" x14ac:dyDescent="0.25">
      <c r="A336" s="40"/>
      <c r="B336" s="44"/>
      <c r="C336" s="193" t="s">
        <v>198</v>
      </c>
      <c r="D336" s="192"/>
      <c r="E336" s="192"/>
      <c r="F336" s="192"/>
      <c r="G336" s="192">
        <f t="shared" ref="G336:G340" si="110">E336+F336</f>
        <v>0</v>
      </c>
      <c r="H336" s="24" t="e">
        <f t="shared" si="109"/>
        <v>#DIV/0!</v>
      </c>
      <c r="I336" s="223"/>
      <c r="J336" s="175"/>
    </row>
    <row r="337" spans="1:10" s="176" customFormat="1" hidden="1" x14ac:dyDescent="0.25">
      <c r="A337" s="40"/>
      <c r="B337" s="190" t="s">
        <v>389</v>
      </c>
      <c r="C337" s="193" t="s">
        <v>199</v>
      </c>
      <c r="D337" s="192">
        <v>0</v>
      </c>
      <c r="E337" s="192"/>
      <c r="F337" s="192"/>
      <c r="G337" s="192">
        <f t="shared" si="110"/>
        <v>0</v>
      </c>
      <c r="H337" s="24" t="e">
        <f t="shared" si="109"/>
        <v>#DIV/0!</v>
      </c>
      <c r="I337" s="225"/>
      <c r="J337" s="175"/>
    </row>
    <row r="338" spans="1:10" s="176" customFormat="1" hidden="1" x14ac:dyDescent="0.25">
      <c r="A338" s="40"/>
      <c r="B338" s="44"/>
      <c r="C338" s="193" t="s">
        <v>200</v>
      </c>
      <c r="D338" s="192">
        <v>0</v>
      </c>
      <c r="E338" s="192"/>
      <c r="F338" s="192"/>
      <c r="G338" s="192">
        <f t="shared" si="110"/>
        <v>0</v>
      </c>
      <c r="H338" s="24" t="e">
        <f t="shared" si="109"/>
        <v>#DIV/0!</v>
      </c>
      <c r="I338" s="223"/>
      <c r="J338" s="175"/>
    </row>
    <row r="339" spans="1:10" s="176" customFormat="1" hidden="1" x14ac:dyDescent="0.25">
      <c r="A339" s="40"/>
      <c r="B339" s="44"/>
      <c r="C339" s="345" t="s">
        <v>201</v>
      </c>
      <c r="D339" s="181">
        <v>0</v>
      </c>
      <c r="E339" s="192"/>
      <c r="F339" s="192">
        <v>0</v>
      </c>
      <c r="G339" s="192">
        <f t="shared" si="110"/>
        <v>0</v>
      </c>
      <c r="H339" s="24" t="e">
        <f t="shared" si="109"/>
        <v>#DIV/0!</v>
      </c>
      <c r="I339" s="225"/>
      <c r="J339" s="175"/>
    </row>
    <row r="340" spans="1:10" s="176" customFormat="1" hidden="1" x14ac:dyDescent="0.25">
      <c r="A340" s="40"/>
      <c r="B340" s="190" t="s">
        <v>541</v>
      </c>
      <c r="C340" s="193" t="s">
        <v>390</v>
      </c>
      <c r="D340" s="192"/>
      <c r="E340" s="192"/>
      <c r="F340" s="192"/>
      <c r="G340" s="192">
        <f t="shared" si="110"/>
        <v>0</v>
      </c>
      <c r="H340" s="24" t="e">
        <f>G340/D340</f>
        <v>#DIV/0!</v>
      </c>
      <c r="I340" s="225" t="s">
        <v>470</v>
      </c>
      <c r="J340" s="175"/>
    </row>
    <row r="341" spans="1:10" s="176" customFormat="1" hidden="1" x14ac:dyDescent="0.25">
      <c r="A341" s="40"/>
      <c r="B341" s="44"/>
      <c r="C341" s="183"/>
      <c r="D341" s="192"/>
      <c r="E341" s="192"/>
      <c r="F341" s="192"/>
      <c r="G341" s="191"/>
      <c r="H341" s="24"/>
      <c r="I341" s="223"/>
      <c r="J341" s="175"/>
    </row>
    <row r="342" spans="1:10" s="176" customFormat="1" hidden="1" x14ac:dyDescent="0.25">
      <c r="A342" s="40"/>
      <c r="B342" s="43">
        <v>2</v>
      </c>
      <c r="C342" s="185" t="s">
        <v>202</v>
      </c>
      <c r="D342" s="191">
        <f>SUM(D343:D343)</f>
        <v>0</v>
      </c>
      <c r="E342" s="191"/>
      <c r="F342" s="191">
        <f t="shared" ref="F342:G342" si="111">SUM(F343:F343)</f>
        <v>0</v>
      </c>
      <c r="G342" s="191">
        <f t="shared" si="111"/>
        <v>0</v>
      </c>
      <c r="H342" s="236" t="e">
        <f t="shared" ref="H342:H353" si="112">G342/D342</f>
        <v>#DIV/0!</v>
      </c>
      <c r="I342" s="224"/>
      <c r="J342" s="175"/>
    </row>
    <row r="343" spans="1:10" s="176" customFormat="1" hidden="1" x14ac:dyDescent="0.25">
      <c r="A343" s="40"/>
      <c r="B343" s="190" t="s">
        <v>542</v>
      </c>
      <c r="C343" s="193" t="s">
        <v>391</v>
      </c>
      <c r="D343" s="192"/>
      <c r="E343" s="192"/>
      <c r="F343" s="192"/>
      <c r="G343" s="192">
        <f>E343+F343</f>
        <v>0</v>
      </c>
      <c r="H343" s="24" t="e">
        <f t="shared" si="112"/>
        <v>#DIV/0!</v>
      </c>
      <c r="I343" s="225" t="s">
        <v>470</v>
      </c>
      <c r="J343" s="175"/>
    </row>
    <row r="344" spans="1:10" s="176" customFormat="1" hidden="1" x14ac:dyDescent="0.25">
      <c r="A344" s="40"/>
      <c r="B344" s="43">
        <v>3</v>
      </c>
      <c r="C344" s="185" t="s">
        <v>203</v>
      </c>
      <c r="D344" s="191">
        <f>SUM(D345:D345)</f>
        <v>0</v>
      </c>
      <c r="E344" s="191"/>
      <c r="F344" s="191">
        <f t="shared" ref="F344:G344" si="113">SUM(F345:F345)</f>
        <v>0</v>
      </c>
      <c r="G344" s="191">
        <f t="shared" si="113"/>
        <v>0</v>
      </c>
      <c r="H344" s="236" t="e">
        <f t="shared" si="112"/>
        <v>#DIV/0!</v>
      </c>
      <c r="I344" s="224"/>
      <c r="J344" s="175"/>
    </row>
    <row r="345" spans="1:10" s="176" customFormat="1" hidden="1" x14ac:dyDescent="0.25">
      <c r="A345" s="40"/>
      <c r="B345" s="190" t="s">
        <v>543</v>
      </c>
      <c r="C345" s="193" t="s">
        <v>392</v>
      </c>
      <c r="D345" s="192"/>
      <c r="E345" s="192"/>
      <c r="F345" s="192"/>
      <c r="G345" s="192">
        <f>E345+F345</f>
        <v>0</v>
      </c>
      <c r="H345" s="24" t="e">
        <f t="shared" si="112"/>
        <v>#DIV/0!</v>
      </c>
      <c r="I345" s="225" t="s">
        <v>469</v>
      </c>
      <c r="J345" s="175"/>
    </row>
    <row r="346" spans="1:10" s="176" customFormat="1" hidden="1" x14ac:dyDescent="0.25">
      <c r="A346" s="40"/>
      <c r="B346" s="43">
        <v>4</v>
      </c>
      <c r="C346" s="185" t="s">
        <v>192</v>
      </c>
      <c r="D346" s="191">
        <f>SUM(D347)</f>
        <v>0</v>
      </c>
      <c r="E346" s="191"/>
      <c r="F346" s="191">
        <f t="shared" ref="F346:G346" si="114">SUM(F347)</f>
        <v>0</v>
      </c>
      <c r="G346" s="191">
        <f t="shared" si="114"/>
        <v>0</v>
      </c>
      <c r="H346" s="236" t="e">
        <f t="shared" si="112"/>
        <v>#DIV/0!</v>
      </c>
      <c r="I346" s="224"/>
      <c r="J346" s="175"/>
    </row>
    <row r="347" spans="1:10" s="176" customFormat="1" hidden="1" x14ac:dyDescent="0.25">
      <c r="A347" s="40"/>
      <c r="B347" s="190" t="s">
        <v>544</v>
      </c>
      <c r="C347" s="47" t="s">
        <v>393</v>
      </c>
      <c r="D347" s="192"/>
      <c r="E347" s="192"/>
      <c r="F347" s="192"/>
      <c r="G347" s="192">
        <f>E347+F347</f>
        <v>0</v>
      </c>
      <c r="H347" s="24" t="e">
        <f t="shared" si="112"/>
        <v>#DIV/0!</v>
      </c>
      <c r="I347" s="225" t="s">
        <v>469</v>
      </c>
      <c r="J347" s="175"/>
    </row>
    <row r="348" spans="1:10" s="176" customFormat="1" hidden="1" x14ac:dyDescent="0.25">
      <c r="A348" s="40"/>
      <c r="B348" s="43">
        <v>5</v>
      </c>
      <c r="C348" s="185" t="s">
        <v>204</v>
      </c>
      <c r="D348" s="191">
        <f>SUM(D349:D349)</f>
        <v>0</v>
      </c>
      <c r="E348" s="191"/>
      <c r="F348" s="191">
        <f t="shared" ref="F348:G348" si="115">SUM(F349:F349)</f>
        <v>0</v>
      </c>
      <c r="G348" s="191">
        <f t="shared" si="115"/>
        <v>0</v>
      </c>
      <c r="H348" s="236" t="e">
        <f t="shared" si="112"/>
        <v>#DIV/0!</v>
      </c>
      <c r="I348" s="223"/>
      <c r="J348" s="175"/>
    </row>
    <row r="349" spans="1:10" s="176" customFormat="1" hidden="1" x14ac:dyDescent="0.25">
      <c r="A349" s="40"/>
      <c r="B349" s="190" t="s">
        <v>545</v>
      </c>
      <c r="C349" s="47" t="s">
        <v>394</v>
      </c>
      <c r="D349" s="192"/>
      <c r="E349" s="192"/>
      <c r="F349" s="192"/>
      <c r="G349" s="192">
        <f>E349+F349</f>
        <v>0</v>
      </c>
      <c r="H349" s="24" t="e">
        <f t="shared" si="112"/>
        <v>#DIV/0!</v>
      </c>
      <c r="I349" s="225"/>
      <c r="J349" s="175"/>
    </row>
    <row r="350" spans="1:10" s="176" customFormat="1" hidden="1" x14ac:dyDescent="0.25">
      <c r="A350" s="40"/>
      <c r="B350" s="43">
        <v>6</v>
      </c>
      <c r="C350" s="185" t="s">
        <v>205</v>
      </c>
      <c r="D350" s="191">
        <f>SUM(D351:D351)</f>
        <v>0</v>
      </c>
      <c r="E350" s="191">
        <f t="shared" ref="E350:G350" si="116">SUM(E351:E351)</f>
        <v>0</v>
      </c>
      <c r="F350" s="191">
        <f t="shared" si="116"/>
        <v>0</v>
      </c>
      <c r="G350" s="191">
        <f t="shared" si="116"/>
        <v>0</v>
      </c>
      <c r="H350" s="236" t="e">
        <f t="shared" si="112"/>
        <v>#DIV/0!</v>
      </c>
      <c r="I350" s="223"/>
      <c r="J350" s="175"/>
    </row>
    <row r="351" spans="1:10" s="176" customFormat="1" hidden="1" x14ac:dyDescent="0.25">
      <c r="A351" s="40"/>
      <c r="B351" s="190" t="s">
        <v>376</v>
      </c>
      <c r="C351" s="48" t="s">
        <v>395</v>
      </c>
      <c r="D351" s="192">
        <v>0</v>
      </c>
      <c r="E351" s="192"/>
      <c r="F351" s="192"/>
      <c r="G351" s="192">
        <f>E351+F351</f>
        <v>0</v>
      </c>
      <c r="H351" s="24" t="e">
        <f t="shared" si="112"/>
        <v>#DIV/0!</v>
      </c>
      <c r="I351" s="225"/>
      <c r="J351" s="175"/>
    </row>
    <row r="352" spans="1:10" s="176" customFormat="1" hidden="1" x14ac:dyDescent="0.25">
      <c r="A352" s="40"/>
      <c r="B352" s="46">
        <v>7</v>
      </c>
      <c r="C352" s="170" t="s">
        <v>206</v>
      </c>
      <c r="D352" s="191">
        <f>D353</f>
        <v>0</v>
      </c>
      <c r="E352" s="191"/>
      <c r="F352" s="191">
        <f t="shared" ref="F352:G352" si="117">F353</f>
        <v>0</v>
      </c>
      <c r="G352" s="191">
        <f t="shared" si="117"/>
        <v>0</v>
      </c>
      <c r="H352" s="236" t="e">
        <f t="shared" si="112"/>
        <v>#DIV/0!</v>
      </c>
      <c r="I352" s="225"/>
      <c r="J352" s="175"/>
    </row>
    <row r="353" spans="1:10" s="176" customFormat="1" hidden="1" x14ac:dyDescent="0.25">
      <c r="A353" s="40"/>
      <c r="B353" s="190" t="s">
        <v>546</v>
      </c>
      <c r="C353" s="48" t="s">
        <v>207</v>
      </c>
      <c r="D353" s="192"/>
      <c r="E353" s="192"/>
      <c r="F353" s="192"/>
      <c r="G353" s="192">
        <f>E353+F353</f>
        <v>0</v>
      </c>
      <c r="H353" s="24" t="e">
        <f t="shared" si="112"/>
        <v>#DIV/0!</v>
      </c>
      <c r="I353" s="225" t="s">
        <v>469</v>
      </c>
      <c r="J353" s="175"/>
    </row>
    <row r="354" spans="1:10" s="176" customFormat="1" hidden="1" x14ac:dyDescent="0.25">
      <c r="A354" s="40"/>
      <c r="B354" s="46"/>
      <c r="C354" s="49"/>
      <c r="D354" s="50"/>
      <c r="E354" s="50"/>
      <c r="F354" s="50"/>
      <c r="G354" s="191"/>
      <c r="H354" s="236"/>
      <c r="I354" s="223"/>
      <c r="J354" s="175"/>
    </row>
    <row r="355" spans="1:10" s="176" customFormat="1" ht="36.75" hidden="1" customHeight="1" x14ac:dyDescent="0.25">
      <c r="A355" s="293"/>
      <c r="B355" s="262" t="s">
        <v>415</v>
      </c>
      <c r="C355" s="41" t="s">
        <v>208</v>
      </c>
      <c r="D355" s="42">
        <f>SUM(D356+D358+D360+D363+D365+D367)</f>
        <v>0</v>
      </c>
      <c r="E355" s="42"/>
      <c r="F355" s="42">
        <f>SUM(F356+F358+F360+F363+F365+F367)</f>
        <v>0</v>
      </c>
      <c r="G355" s="42">
        <f t="shared" ref="G355:G368" si="118">F355-D355</f>
        <v>0</v>
      </c>
      <c r="H355" s="237"/>
      <c r="I355" s="226"/>
      <c r="J355" s="175"/>
    </row>
    <row r="356" spans="1:10" s="176" customFormat="1" hidden="1" x14ac:dyDescent="0.25">
      <c r="A356" s="40"/>
      <c r="B356" s="51">
        <v>1</v>
      </c>
      <c r="C356" s="35" t="s">
        <v>209</v>
      </c>
      <c r="D356" s="191">
        <f>SUM(D357:D357)</f>
        <v>0</v>
      </c>
      <c r="E356" s="191"/>
      <c r="F356" s="191">
        <f>SUM(F357:F357)</f>
        <v>0</v>
      </c>
      <c r="G356" s="191">
        <f t="shared" si="118"/>
        <v>0</v>
      </c>
      <c r="H356" s="236"/>
      <c r="I356" s="224"/>
      <c r="J356" s="175"/>
    </row>
    <row r="357" spans="1:10" s="176" customFormat="1" hidden="1" x14ac:dyDescent="0.25">
      <c r="A357" s="40"/>
      <c r="B357" s="190" t="s">
        <v>380</v>
      </c>
      <c r="C357" s="193" t="s">
        <v>210</v>
      </c>
      <c r="D357" s="192">
        <v>0</v>
      </c>
      <c r="E357" s="192"/>
      <c r="F357" s="192">
        <v>0</v>
      </c>
      <c r="G357" s="192">
        <f t="shared" si="118"/>
        <v>0</v>
      </c>
      <c r="H357" s="24"/>
      <c r="I357" s="225"/>
      <c r="J357" s="175"/>
    </row>
    <row r="358" spans="1:10" s="176" customFormat="1" hidden="1" x14ac:dyDescent="0.25">
      <c r="A358" s="40"/>
      <c r="B358" s="51">
        <v>2</v>
      </c>
      <c r="C358" s="35" t="s">
        <v>211</v>
      </c>
      <c r="D358" s="191">
        <f>SUM(D359)</f>
        <v>0</v>
      </c>
      <c r="E358" s="191"/>
      <c r="F358" s="191">
        <f>SUM(F359)</f>
        <v>0</v>
      </c>
      <c r="G358" s="191">
        <f t="shared" si="118"/>
        <v>0</v>
      </c>
      <c r="H358" s="236"/>
      <c r="I358" s="224"/>
      <c r="J358" s="175"/>
    </row>
    <row r="359" spans="1:10" s="176" customFormat="1" hidden="1" x14ac:dyDescent="0.25">
      <c r="A359" s="40"/>
      <c r="B359" s="190" t="s">
        <v>383</v>
      </c>
      <c r="C359" s="193" t="s">
        <v>194</v>
      </c>
      <c r="D359" s="192">
        <v>0</v>
      </c>
      <c r="E359" s="192"/>
      <c r="F359" s="192">
        <v>0</v>
      </c>
      <c r="G359" s="192">
        <f t="shared" si="118"/>
        <v>0</v>
      </c>
      <c r="H359" s="24"/>
      <c r="I359" s="225"/>
      <c r="J359" s="175"/>
    </row>
    <row r="360" spans="1:10" s="176" customFormat="1" hidden="1" x14ac:dyDescent="0.25">
      <c r="A360" s="40"/>
      <c r="B360" s="51">
        <v>3</v>
      </c>
      <c r="C360" s="185" t="s">
        <v>172</v>
      </c>
      <c r="D360" s="191">
        <f>SUM(D361:D362)</f>
        <v>0</v>
      </c>
      <c r="E360" s="191"/>
      <c r="F360" s="191">
        <f>SUM(F361:F362)</f>
        <v>0</v>
      </c>
      <c r="G360" s="191">
        <f t="shared" si="118"/>
        <v>0</v>
      </c>
      <c r="H360" s="236"/>
      <c r="I360" s="224"/>
      <c r="J360" s="175"/>
    </row>
    <row r="361" spans="1:10" s="176" customFormat="1" hidden="1" x14ac:dyDescent="0.25">
      <c r="A361" s="40"/>
      <c r="B361" s="190" t="s">
        <v>377</v>
      </c>
      <c r="C361" s="193" t="s">
        <v>174</v>
      </c>
      <c r="D361" s="192"/>
      <c r="E361" s="192"/>
      <c r="F361" s="192"/>
      <c r="G361" s="192">
        <f t="shared" si="118"/>
        <v>0</v>
      </c>
      <c r="H361" s="24"/>
      <c r="I361" s="225"/>
      <c r="J361" s="175"/>
    </row>
    <row r="362" spans="1:10" s="176" customFormat="1" hidden="1" x14ac:dyDescent="0.25">
      <c r="A362" s="40"/>
      <c r="B362" s="190" t="s">
        <v>378</v>
      </c>
      <c r="C362" s="193" t="s">
        <v>175</v>
      </c>
      <c r="D362" s="192"/>
      <c r="E362" s="192"/>
      <c r="F362" s="192"/>
      <c r="G362" s="192">
        <f t="shared" si="118"/>
        <v>0</v>
      </c>
      <c r="H362" s="24"/>
      <c r="I362" s="225"/>
      <c r="J362" s="175"/>
    </row>
    <row r="363" spans="1:10" s="176" customFormat="1" hidden="1" x14ac:dyDescent="0.25">
      <c r="A363" s="40"/>
      <c r="B363" s="51">
        <v>4</v>
      </c>
      <c r="C363" s="35" t="s">
        <v>212</v>
      </c>
      <c r="D363" s="191">
        <f>D364</f>
        <v>0</v>
      </c>
      <c r="E363" s="191"/>
      <c r="F363" s="191">
        <f>F364</f>
        <v>0</v>
      </c>
      <c r="G363" s="191">
        <f t="shared" si="118"/>
        <v>0</v>
      </c>
      <c r="H363" s="236"/>
      <c r="I363" s="225"/>
      <c r="J363" s="175"/>
    </row>
    <row r="364" spans="1:10" s="176" customFormat="1" hidden="1" x14ac:dyDescent="0.25">
      <c r="A364" s="40"/>
      <c r="B364" s="190" t="s">
        <v>381</v>
      </c>
      <c r="C364" s="193" t="s">
        <v>189</v>
      </c>
      <c r="D364" s="191">
        <v>0</v>
      </c>
      <c r="E364" s="191"/>
      <c r="F364" s="191">
        <v>0</v>
      </c>
      <c r="G364" s="192">
        <f t="shared" si="118"/>
        <v>0</v>
      </c>
      <c r="H364" s="236"/>
      <c r="I364" s="225"/>
      <c r="J364" s="175"/>
    </row>
    <row r="365" spans="1:10" s="176" customFormat="1" hidden="1" x14ac:dyDescent="0.25">
      <c r="A365" s="40"/>
      <c r="B365" s="51">
        <v>5</v>
      </c>
      <c r="C365" s="35" t="s">
        <v>213</v>
      </c>
      <c r="D365" s="191">
        <f>SUM(D366:D366)</f>
        <v>0</v>
      </c>
      <c r="E365" s="191"/>
      <c r="F365" s="191">
        <f>SUM(F366:F366)</f>
        <v>0</v>
      </c>
      <c r="G365" s="191">
        <f t="shared" si="118"/>
        <v>0</v>
      </c>
      <c r="H365" s="236"/>
      <c r="I365" s="224"/>
      <c r="J365" s="175"/>
    </row>
    <row r="366" spans="1:10" s="176" customFormat="1" hidden="1" x14ac:dyDescent="0.25">
      <c r="A366" s="40"/>
      <c r="B366" s="190" t="s">
        <v>382</v>
      </c>
      <c r="C366" s="193" t="s">
        <v>187</v>
      </c>
      <c r="D366" s="192">
        <v>0</v>
      </c>
      <c r="E366" s="192"/>
      <c r="F366" s="192">
        <v>0</v>
      </c>
      <c r="G366" s="192">
        <f t="shared" si="118"/>
        <v>0</v>
      </c>
      <c r="H366" s="24"/>
      <c r="I366" s="225"/>
      <c r="J366" s="175"/>
    </row>
    <row r="367" spans="1:10" s="176" customFormat="1" hidden="1" x14ac:dyDescent="0.25">
      <c r="A367" s="40"/>
      <c r="B367" s="51">
        <v>6</v>
      </c>
      <c r="C367" s="35" t="s">
        <v>214</v>
      </c>
      <c r="D367" s="191">
        <f>SUM(D368:D368)</f>
        <v>0</v>
      </c>
      <c r="E367" s="191"/>
      <c r="F367" s="191">
        <f>SUM(F368:F368)</f>
        <v>0</v>
      </c>
      <c r="G367" s="191">
        <f t="shared" si="118"/>
        <v>0</v>
      </c>
      <c r="H367" s="236"/>
      <c r="I367" s="224"/>
      <c r="J367" s="175"/>
    </row>
    <row r="368" spans="1:10" s="176" customFormat="1" hidden="1" x14ac:dyDescent="0.25">
      <c r="A368" s="40"/>
      <c r="B368" s="190" t="s">
        <v>379</v>
      </c>
      <c r="C368" s="193" t="s">
        <v>215</v>
      </c>
      <c r="D368" s="192"/>
      <c r="E368" s="192"/>
      <c r="F368" s="192"/>
      <c r="G368" s="192">
        <f t="shared" si="118"/>
        <v>0</v>
      </c>
      <c r="H368" s="24"/>
      <c r="I368" s="225"/>
      <c r="J368" s="175"/>
    </row>
    <row r="369" spans="1:10" s="176" customFormat="1" hidden="1" x14ac:dyDescent="0.25">
      <c r="A369" s="40"/>
      <c r="B369" s="178"/>
      <c r="C369" s="183"/>
      <c r="D369" s="192"/>
      <c r="E369" s="192"/>
      <c r="F369" s="192"/>
      <c r="G369" s="191"/>
      <c r="H369" s="236"/>
      <c r="I369" s="224"/>
      <c r="J369" s="175"/>
    </row>
    <row r="370" spans="1:10" s="176" customFormat="1" ht="25.5" customHeight="1" x14ac:dyDescent="0.25">
      <c r="A370" s="138" t="s">
        <v>235</v>
      </c>
      <c r="B370" s="139" t="s">
        <v>384</v>
      </c>
      <c r="C370" s="140" t="s">
        <v>385</v>
      </c>
      <c r="D370" s="141">
        <f>SUM(D372+D374+M377+D377+D380+D383+D386+D389+D397+D400+D403+D406+D409+D412)</f>
        <v>121905428010</v>
      </c>
      <c r="E370" s="141">
        <f t="shared" ref="E370:G370" si="119">SUM(E372+E374+N377+E377+E380+E383+E386+E389+E397+E400+E403+E406+E409+E412)</f>
        <v>33587786067</v>
      </c>
      <c r="F370" s="141">
        <f t="shared" si="119"/>
        <v>0</v>
      </c>
      <c r="G370" s="141">
        <f t="shared" si="119"/>
        <v>33587786067</v>
      </c>
      <c r="H370" s="240">
        <f>G370/D370</f>
        <v>0.27552330208171505</v>
      </c>
      <c r="I370" s="225" t="s">
        <v>216</v>
      </c>
      <c r="J370" s="175"/>
    </row>
    <row r="371" spans="1:10" s="176" customFormat="1" ht="21" customHeight="1" x14ac:dyDescent="0.25">
      <c r="A371" s="40"/>
      <c r="B371" s="167" t="s">
        <v>19</v>
      </c>
      <c r="C371" s="185" t="s">
        <v>635</v>
      </c>
      <c r="D371" s="191">
        <f>D372</f>
        <v>50738030000</v>
      </c>
      <c r="E371" s="191">
        <f t="shared" ref="E371:G371" si="120">E372</f>
        <v>0</v>
      </c>
      <c r="F371" s="191">
        <f t="shared" si="120"/>
        <v>0</v>
      </c>
      <c r="G371" s="191">
        <f t="shared" si="120"/>
        <v>0</v>
      </c>
      <c r="H371" s="236">
        <f>G371/D371</f>
        <v>0</v>
      </c>
      <c r="I371" s="225" t="s">
        <v>218</v>
      </c>
      <c r="J371" s="175"/>
    </row>
    <row r="372" spans="1:10" s="176" customFormat="1" ht="21" customHeight="1" x14ac:dyDescent="0.25">
      <c r="A372" s="40"/>
      <c r="B372" s="190" t="s">
        <v>634</v>
      </c>
      <c r="C372" s="183" t="s">
        <v>636</v>
      </c>
      <c r="D372" s="192">
        <v>50738030000</v>
      </c>
      <c r="E372" s="192">
        <f>'Realisasi Juni'!G371</f>
        <v>0</v>
      </c>
      <c r="F372" s="192">
        <v>0</v>
      </c>
      <c r="G372" s="192">
        <f>E372+F372</f>
        <v>0</v>
      </c>
      <c r="H372" s="24">
        <f>G372/D372</f>
        <v>0</v>
      </c>
      <c r="I372" s="225"/>
      <c r="J372" s="175"/>
    </row>
    <row r="373" spans="1:10" s="176" customFormat="1" ht="25.5" customHeight="1" x14ac:dyDescent="0.25">
      <c r="A373" s="169"/>
      <c r="B373" s="189"/>
      <c r="C373" s="185"/>
      <c r="D373" s="191"/>
      <c r="E373" s="192"/>
      <c r="F373" s="191"/>
      <c r="G373" s="191"/>
      <c r="H373" s="236"/>
      <c r="I373" s="225"/>
      <c r="J373" s="175"/>
    </row>
    <row r="374" spans="1:10" s="176" customFormat="1" ht="21" customHeight="1" x14ac:dyDescent="0.25">
      <c r="A374" s="40"/>
      <c r="B374" s="167" t="s">
        <v>39</v>
      </c>
      <c r="C374" s="185" t="s">
        <v>638</v>
      </c>
      <c r="D374" s="191">
        <f>D375</f>
        <v>1125000000</v>
      </c>
      <c r="E374" s="191">
        <f>'Realisasi Mei'!G371</f>
        <v>0</v>
      </c>
      <c r="F374" s="191">
        <f t="shared" ref="F374:G374" si="121">F375</f>
        <v>0</v>
      </c>
      <c r="G374" s="191">
        <f t="shared" si="121"/>
        <v>0</v>
      </c>
      <c r="H374" s="236">
        <f>G374/D374</f>
        <v>0</v>
      </c>
      <c r="I374" s="225" t="s">
        <v>218</v>
      </c>
      <c r="J374" s="175"/>
    </row>
    <row r="375" spans="1:10" s="176" customFormat="1" ht="21" customHeight="1" x14ac:dyDescent="0.25">
      <c r="A375" s="40"/>
      <c r="B375" s="190" t="s">
        <v>637</v>
      </c>
      <c r="C375" s="183" t="s">
        <v>639</v>
      </c>
      <c r="D375" s="192">
        <v>1125000000</v>
      </c>
      <c r="E375" s="192">
        <f>'Realisasi Juni'!G374</f>
        <v>0</v>
      </c>
      <c r="F375" s="192"/>
      <c r="G375" s="192">
        <f>E375+F375</f>
        <v>0</v>
      </c>
      <c r="H375" s="24">
        <f>G375/D375</f>
        <v>0</v>
      </c>
      <c r="I375" s="225"/>
      <c r="J375" s="175"/>
    </row>
    <row r="376" spans="1:10" s="176" customFormat="1" ht="21" customHeight="1" x14ac:dyDescent="0.25">
      <c r="A376" s="40"/>
      <c r="B376" s="190"/>
      <c r="C376" s="183"/>
      <c r="D376" s="192"/>
      <c r="E376" s="192"/>
      <c r="F376" s="192"/>
      <c r="G376" s="192"/>
      <c r="H376" s="24"/>
      <c r="I376" s="225"/>
      <c r="J376" s="175"/>
    </row>
    <row r="377" spans="1:10" s="176" customFormat="1" ht="21" customHeight="1" x14ac:dyDescent="0.25">
      <c r="A377" s="40"/>
      <c r="B377" s="167" t="s">
        <v>19</v>
      </c>
      <c r="C377" s="185" t="s">
        <v>217</v>
      </c>
      <c r="D377" s="191">
        <f>D378</f>
        <v>2661700000</v>
      </c>
      <c r="E377" s="191">
        <f>E378</f>
        <v>0</v>
      </c>
      <c r="F377" s="191">
        <f t="shared" ref="F377:G377" si="122">F378</f>
        <v>0</v>
      </c>
      <c r="G377" s="191">
        <f t="shared" si="122"/>
        <v>0</v>
      </c>
      <c r="H377" s="236">
        <f>G377/D377</f>
        <v>0</v>
      </c>
      <c r="I377" s="225" t="s">
        <v>218</v>
      </c>
      <c r="J377" s="175"/>
    </row>
    <row r="378" spans="1:10" s="176" customFormat="1" ht="21" customHeight="1" x14ac:dyDescent="0.25">
      <c r="A378" s="40"/>
      <c r="B378" s="190" t="s">
        <v>547</v>
      </c>
      <c r="C378" s="183" t="s">
        <v>217</v>
      </c>
      <c r="D378" s="192">
        <v>2661700000</v>
      </c>
      <c r="E378" s="192">
        <f>'Realisasi Juni'!G377</f>
        <v>0</v>
      </c>
      <c r="F378" s="192"/>
      <c r="G378" s="192">
        <f>E378+F378</f>
        <v>0</v>
      </c>
      <c r="H378" s="24">
        <f>G378/D378</f>
        <v>0</v>
      </c>
      <c r="I378" s="225"/>
      <c r="J378" s="175"/>
    </row>
    <row r="379" spans="1:10" s="176" customFormat="1" ht="21" customHeight="1" x14ac:dyDescent="0.25">
      <c r="A379" s="40"/>
      <c r="B379" s="190"/>
      <c r="C379" s="183"/>
      <c r="D379" s="192"/>
      <c r="E379" s="192"/>
      <c r="F379" s="192"/>
      <c r="G379" s="192"/>
      <c r="H379" s="236"/>
      <c r="I379" s="225"/>
      <c r="J379" s="175"/>
    </row>
    <row r="380" spans="1:10" s="176" customFormat="1" ht="21" customHeight="1" x14ac:dyDescent="0.25">
      <c r="A380" s="40"/>
      <c r="B380" s="167" t="s">
        <v>39</v>
      </c>
      <c r="C380" s="185" t="s">
        <v>219</v>
      </c>
      <c r="D380" s="191">
        <f>D381</f>
        <v>747200000</v>
      </c>
      <c r="E380" s="191">
        <f>'Realisasi Mei'!G377</f>
        <v>0</v>
      </c>
      <c r="F380" s="191">
        <f t="shared" ref="F380:G380" si="123">F381</f>
        <v>0</v>
      </c>
      <c r="G380" s="191">
        <f t="shared" si="123"/>
        <v>0</v>
      </c>
      <c r="H380" s="236">
        <f>G380/D380</f>
        <v>0</v>
      </c>
      <c r="I380" s="225" t="s">
        <v>218</v>
      </c>
      <c r="J380" s="175"/>
    </row>
    <row r="381" spans="1:10" s="176" customFormat="1" ht="21" customHeight="1" x14ac:dyDescent="0.25">
      <c r="A381" s="40"/>
      <c r="B381" s="190" t="s">
        <v>548</v>
      </c>
      <c r="C381" s="183" t="s">
        <v>219</v>
      </c>
      <c r="D381" s="192">
        <v>747200000</v>
      </c>
      <c r="E381" s="192">
        <f>'Realisasi Juni'!G380</f>
        <v>0</v>
      </c>
      <c r="F381" s="192"/>
      <c r="G381" s="192">
        <f>E381+F381</f>
        <v>0</v>
      </c>
      <c r="H381" s="24">
        <f>G381/D381</f>
        <v>0</v>
      </c>
      <c r="I381" s="225"/>
      <c r="J381" s="175"/>
    </row>
    <row r="382" spans="1:10" s="176" customFormat="1" ht="21" customHeight="1" x14ac:dyDescent="0.25">
      <c r="A382" s="40"/>
      <c r="B382" s="190"/>
      <c r="C382" s="183"/>
      <c r="D382" s="191"/>
      <c r="E382" s="192"/>
      <c r="F382" s="191"/>
      <c r="G382" s="192"/>
      <c r="H382" s="236"/>
      <c r="I382" s="225"/>
      <c r="J382" s="175"/>
    </row>
    <row r="383" spans="1:10" s="176" customFormat="1" x14ac:dyDescent="0.25">
      <c r="A383" s="40"/>
      <c r="B383" s="167" t="s">
        <v>46</v>
      </c>
      <c r="C383" s="35" t="s">
        <v>220</v>
      </c>
      <c r="D383" s="191">
        <f>SUM(D384)</f>
        <v>55849895230</v>
      </c>
      <c r="E383" s="191">
        <f>E384</f>
        <v>29548260000</v>
      </c>
      <c r="F383" s="191">
        <f t="shared" ref="F383:G383" si="124">SUM(F384)</f>
        <v>0</v>
      </c>
      <c r="G383" s="191">
        <f t="shared" si="124"/>
        <v>29548260000</v>
      </c>
      <c r="H383" s="236">
        <f>G383/D383</f>
        <v>0.52906562990521122</v>
      </c>
      <c r="I383" s="223"/>
      <c r="J383" s="175"/>
    </row>
    <row r="384" spans="1:10" s="176" customFormat="1" x14ac:dyDescent="0.25">
      <c r="A384" s="40"/>
      <c r="B384" s="190" t="s">
        <v>549</v>
      </c>
      <c r="C384" s="193" t="s">
        <v>220</v>
      </c>
      <c r="D384" s="192">
        <v>55849895230</v>
      </c>
      <c r="E384" s="192">
        <f>'Realisasi Juni'!G383</f>
        <v>29548260000</v>
      </c>
      <c r="F384" s="192"/>
      <c r="G384" s="192">
        <f>E384+F384</f>
        <v>29548260000</v>
      </c>
      <c r="H384" s="24">
        <f>G384/D384</f>
        <v>0.52906562990521122</v>
      </c>
      <c r="I384" s="225" t="s">
        <v>218</v>
      </c>
      <c r="J384" s="175"/>
    </row>
    <row r="385" spans="1:10" s="176" customFormat="1" x14ac:dyDescent="0.25">
      <c r="A385" s="40"/>
      <c r="B385" s="190"/>
      <c r="C385" s="193"/>
      <c r="D385" s="192"/>
      <c r="E385" s="192"/>
      <c r="F385" s="192"/>
      <c r="G385" s="192"/>
      <c r="H385" s="24"/>
      <c r="I385" s="225"/>
      <c r="J385" s="175"/>
    </row>
    <row r="386" spans="1:10" s="176" customFormat="1" x14ac:dyDescent="0.25">
      <c r="A386" s="40"/>
      <c r="B386" s="167" t="s">
        <v>8</v>
      </c>
      <c r="C386" s="35" t="s">
        <v>221</v>
      </c>
      <c r="D386" s="191">
        <f>SUM(D387)</f>
        <v>2296500000</v>
      </c>
      <c r="E386" s="191">
        <f>E387</f>
        <v>1249050000</v>
      </c>
      <c r="F386" s="191">
        <f t="shared" ref="F386:G386" si="125">SUM(F387)</f>
        <v>0</v>
      </c>
      <c r="G386" s="191">
        <f t="shared" si="125"/>
        <v>1249050000</v>
      </c>
      <c r="H386" s="236">
        <f>G386/D386</f>
        <v>0.54389288047028084</v>
      </c>
      <c r="I386" s="223"/>
      <c r="J386" s="175"/>
    </row>
    <row r="387" spans="1:10" s="176" customFormat="1" x14ac:dyDescent="0.25">
      <c r="A387" s="40"/>
      <c r="B387" s="190" t="s">
        <v>550</v>
      </c>
      <c r="C387" s="193" t="s">
        <v>221</v>
      </c>
      <c r="D387" s="192">
        <v>2296500000</v>
      </c>
      <c r="E387" s="192">
        <f>'Realisasi Juni'!G386</f>
        <v>1249050000</v>
      </c>
      <c r="F387" s="192"/>
      <c r="G387" s="192">
        <f>E387+F387</f>
        <v>1249050000</v>
      </c>
      <c r="H387" s="24">
        <f>G387/D387</f>
        <v>0.54389288047028084</v>
      </c>
      <c r="I387" s="225" t="s">
        <v>218</v>
      </c>
      <c r="J387" s="175"/>
    </row>
    <row r="388" spans="1:10" s="176" customFormat="1" x14ac:dyDescent="0.25">
      <c r="A388" s="40"/>
      <c r="B388" s="190"/>
      <c r="C388" s="193"/>
      <c r="D388" s="192"/>
      <c r="E388" s="192"/>
      <c r="F388" s="192"/>
      <c r="G388" s="192"/>
      <c r="H388" s="24"/>
      <c r="I388" s="225"/>
      <c r="J388" s="175"/>
    </row>
    <row r="389" spans="1:10" s="176" customFormat="1" x14ac:dyDescent="0.25">
      <c r="A389" s="40"/>
      <c r="B389" s="167" t="s">
        <v>49</v>
      </c>
      <c r="C389" s="35" t="s">
        <v>222</v>
      </c>
      <c r="D389" s="191">
        <f>SUM(D390:D395)</f>
        <v>7190684820</v>
      </c>
      <c r="E389" s="191">
        <f>SUM(E390:E395)</f>
        <v>2361210007</v>
      </c>
      <c r="F389" s="191">
        <f t="shared" ref="F389:G389" si="126">SUM(F390:F395)</f>
        <v>0</v>
      </c>
      <c r="G389" s="191">
        <f t="shared" si="126"/>
        <v>2361210007</v>
      </c>
      <c r="H389" s="236">
        <f>G389/D389</f>
        <v>0.32837067207181525</v>
      </c>
      <c r="I389" s="227"/>
      <c r="J389" s="175"/>
    </row>
    <row r="390" spans="1:10" s="176" customFormat="1" x14ac:dyDescent="0.25">
      <c r="A390" s="40"/>
      <c r="B390" s="190" t="s">
        <v>551</v>
      </c>
      <c r="C390" s="193" t="s">
        <v>223</v>
      </c>
      <c r="D390" s="192">
        <v>1403459600</v>
      </c>
      <c r="E390" s="192">
        <f>'Realisasi Juni'!G389</f>
        <v>1554209607</v>
      </c>
      <c r="F390" s="192"/>
      <c r="G390" s="192">
        <f>E390+F390</f>
        <v>1554209607</v>
      </c>
      <c r="H390" s="24">
        <f>G390/D390</f>
        <v>1.1074131432069723</v>
      </c>
      <c r="I390" s="225" t="s">
        <v>218</v>
      </c>
      <c r="J390" s="175"/>
    </row>
    <row r="391" spans="1:10" s="176" customFormat="1" x14ac:dyDescent="0.25">
      <c r="A391" s="40"/>
      <c r="B391" s="190" t="s">
        <v>552</v>
      </c>
      <c r="C391" s="193" t="s">
        <v>227</v>
      </c>
      <c r="D391" s="192">
        <v>459094000</v>
      </c>
      <c r="E391" s="192">
        <f>'Realisasi Juni'!G390</f>
        <v>0</v>
      </c>
      <c r="F391" s="192"/>
      <c r="G391" s="192">
        <f t="shared" ref="G391:G398" si="127">E391+F391</f>
        <v>0</v>
      </c>
      <c r="H391" s="24">
        <f>G391/D391</f>
        <v>0</v>
      </c>
      <c r="I391" s="225" t="s">
        <v>216</v>
      </c>
      <c r="J391" s="175"/>
    </row>
    <row r="392" spans="1:10" s="176" customFormat="1" x14ac:dyDescent="0.25">
      <c r="A392" s="40"/>
      <c r="B392" s="190" t="s">
        <v>553</v>
      </c>
      <c r="C392" s="193" t="s">
        <v>224</v>
      </c>
      <c r="D392" s="192">
        <v>3080905120</v>
      </c>
      <c r="E392" s="192">
        <f>'Realisasi Juni'!G391</f>
        <v>0</v>
      </c>
      <c r="F392" s="192"/>
      <c r="G392" s="192">
        <f t="shared" si="127"/>
        <v>0</v>
      </c>
      <c r="H392" s="24">
        <f>G392/D392</f>
        <v>0</v>
      </c>
      <c r="I392" s="225" t="s">
        <v>218</v>
      </c>
      <c r="J392" s="175"/>
    </row>
    <row r="393" spans="1:10" s="176" customFormat="1" ht="18" hidden="1" customHeight="1" x14ac:dyDescent="0.25">
      <c r="A393" s="40"/>
      <c r="B393" s="52"/>
      <c r="C393" s="193" t="s">
        <v>225</v>
      </c>
      <c r="D393" s="192"/>
      <c r="E393" s="192">
        <f>'Realisasi Juni'!G392</f>
        <v>0</v>
      </c>
      <c r="F393" s="192"/>
      <c r="G393" s="192">
        <f t="shared" si="127"/>
        <v>0</v>
      </c>
      <c r="H393" s="24">
        <v>0</v>
      </c>
      <c r="I393" s="223"/>
      <c r="J393" s="175"/>
    </row>
    <row r="394" spans="1:10" s="176" customFormat="1" x14ac:dyDescent="0.25">
      <c r="A394" s="40"/>
      <c r="B394" s="190" t="s">
        <v>554</v>
      </c>
      <c r="C394" s="193" t="s">
        <v>226</v>
      </c>
      <c r="D394" s="192">
        <v>113748200</v>
      </c>
      <c r="E394" s="192">
        <f>'Realisasi Juni'!G393</f>
        <v>0</v>
      </c>
      <c r="F394" s="192"/>
      <c r="G394" s="192">
        <f t="shared" si="127"/>
        <v>0</v>
      </c>
      <c r="H394" s="24">
        <f>G394/D394</f>
        <v>0</v>
      </c>
      <c r="I394" s="225" t="s">
        <v>216</v>
      </c>
      <c r="J394" s="175"/>
    </row>
    <row r="395" spans="1:10" s="176" customFormat="1" x14ac:dyDescent="0.25">
      <c r="A395" s="40"/>
      <c r="B395" s="190" t="s">
        <v>386</v>
      </c>
      <c r="C395" s="193" t="s">
        <v>228</v>
      </c>
      <c r="D395" s="192">
        <v>2133477900</v>
      </c>
      <c r="E395" s="192">
        <f>'Realisasi Juni'!G394</f>
        <v>807000400</v>
      </c>
      <c r="F395" s="192"/>
      <c r="G395" s="192">
        <f t="shared" si="127"/>
        <v>807000400</v>
      </c>
      <c r="H395" s="24">
        <f>G395/D395</f>
        <v>0.37825580475898063</v>
      </c>
      <c r="I395" s="225" t="s">
        <v>216</v>
      </c>
      <c r="J395" s="175"/>
    </row>
    <row r="396" spans="1:10" s="176" customFormat="1" x14ac:dyDescent="0.25">
      <c r="A396" s="40"/>
      <c r="B396" s="190"/>
      <c r="C396" s="193"/>
      <c r="D396" s="192"/>
      <c r="E396" s="192"/>
      <c r="F396" s="192"/>
      <c r="G396" s="192">
        <f t="shared" si="127"/>
        <v>0</v>
      </c>
      <c r="H396" s="24"/>
      <c r="I396" s="225"/>
      <c r="J396" s="175"/>
    </row>
    <row r="397" spans="1:10" s="176" customFormat="1" x14ac:dyDescent="0.25">
      <c r="A397" s="40"/>
      <c r="B397" s="167" t="s">
        <v>53</v>
      </c>
      <c r="C397" s="35" t="s">
        <v>229</v>
      </c>
      <c r="D397" s="191">
        <f>SUM(D398)</f>
        <v>0</v>
      </c>
      <c r="E397" s="192">
        <f>'Realisasi Mei'!G394</f>
        <v>0</v>
      </c>
      <c r="F397" s="191">
        <f>SUM(F398)</f>
        <v>0</v>
      </c>
      <c r="G397" s="192">
        <f t="shared" si="127"/>
        <v>0</v>
      </c>
      <c r="H397" s="253" t="e">
        <f>G397/D397</f>
        <v>#DIV/0!</v>
      </c>
      <c r="I397" s="223"/>
      <c r="J397" s="175"/>
    </row>
    <row r="398" spans="1:10" s="176" customFormat="1" x14ac:dyDescent="0.25">
      <c r="A398" s="40"/>
      <c r="B398" s="190" t="s">
        <v>387</v>
      </c>
      <c r="C398" s="193" t="s">
        <v>229</v>
      </c>
      <c r="D398" s="192">
        <v>0</v>
      </c>
      <c r="E398" s="192">
        <f>'Realisasi Mei'!G395</f>
        <v>0</v>
      </c>
      <c r="F398" s="192"/>
      <c r="G398" s="192">
        <f t="shared" si="127"/>
        <v>0</v>
      </c>
      <c r="H398" s="252" t="e">
        <f>G398/D398</f>
        <v>#DIV/0!</v>
      </c>
      <c r="I398" s="225" t="s">
        <v>216</v>
      </c>
      <c r="J398" s="175"/>
    </row>
    <row r="399" spans="1:10" s="176" customFormat="1" x14ac:dyDescent="0.25">
      <c r="A399" s="40"/>
      <c r="B399" s="190"/>
      <c r="C399" s="193"/>
      <c r="D399" s="192"/>
      <c r="E399" s="192"/>
      <c r="F399" s="192"/>
      <c r="G399" s="192"/>
      <c r="H399" s="24"/>
      <c r="I399" s="225"/>
      <c r="J399" s="175"/>
    </row>
    <row r="400" spans="1:10" s="176" customFormat="1" x14ac:dyDescent="0.25">
      <c r="A400" s="40"/>
      <c r="B400" s="167" t="s">
        <v>62</v>
      </c>
      <c r="C400" s="35" t="s">
        <v>230</v>
      </c>
      <c r="D400" s="191">
        <f>SUM(D401)</f>
        <v>0</v>
      </c>
      <c r="E400" s="192">
        <f>'Realisasi Mei'!G397</f>
        <v>0</v>
      </c>
      <c r="F400" s="191">
        <f t="shared" ref="F400:G400" si="128">SUM(F401)</f>
        <v>0</v>
      </c>
      <c r="G400" s="191">
        <f t="shared" si="128"/>
        <v>0</v>
      </c>
      <c r="H400" s="236" t="e">
        <f>G400/D400</f>
        <v>#DIV/0!</v>
      </c>
      <c r="I400" s="223"/>
      <c r="J400" s="175"/>
    </row>
    <row r="401" spans="1:10" s="176" customFormat="1" x14ac:dyDescent="0.25">
      <c r="A401" s="40"/>
      <c r="B401" s="190" t="s">
        <v>555</v>
      </c>
      <c r="C401" s="193" t="s">
        <v>230</v>
      </c>
      <c r="D401" s="192"/>
      <c r="E401" s="192">
        <f>'Realisasi Mei'!G398</f>
        <v>0</v>
      </c>
      <c r="F401" s="192"/>
      <c r="G401" s="192">
        <f>E401+F401</f>
        <v>0</v>
      </c>
      <c r="H401" s="24" t="e">
        <f>G401/D401</f>
        <v>#DIV/0!</v>
      </c>
      <c r="I401" s="225" t="s">
        <v>216</v>
      </c>
      <c r="J401" s="175"/>
    </row>
    <row r="402" spans="1:10" s="176" customFormat="1" x14ac:dyDescent="0.25">
      <c r="A402" s="40"/>
      <c r="B402" s="190"/>
      <c r="C402" s="193"/>
      <c r="D402" s="192"/>
      <c r="E402" s="192"/>
      <c r="F402" s="192"/>
      <c r="G402" s="192"/>
      <c r="H402" s="24"/>
      <c r="I402" s="225"/>
      <c r="J402" s="175"/>
    </row>
    <row r="403" spans="1:10" s="176" customFormat="1" x14ac:dyDescent="0.25">
      <c r="A403" s="40"/>
      <c r="B403" s="167" t="s">
        <v>66</v>
      </c>
      <c r="C403" s="35" t="s">
        <v>231</v>
      </c>
      <c r="D403" s="191">
        <f>SUM(D404)</f>
        <v>0</v>
      </c>
      <c r="E403" s="192">
        <f>'Realisasi Mei'!G400</f>
        <v>0</v>
      </c>
      <c r="F403" s="191">
        <f t="shared" ref="F403:G403" si="129">SUM(F404)</f>
        <v>0</v>
      </c>
      <c r="G403" s="191">
        <f t="shared" si="129"/>
        <v>0</v>
      </c>
      <c r="H403" s="236" t="e">
        <f>G403/D403</f>
        <v>#DIV/0!</v>
      </c>
      <c r="I403" s="223"/>
      <c r="J403" s="175"/>
    </row>
    <row r="404" spans="1:10" s="176" customFormat="1" x14ac:dyDescent="0.25">
      <c r="A404" s="40"/>
      <c r="B404" s="190" t="s">
        <v>556</v>
      </c>
      <c r="C404" s="193" t="s">
        <v>231</v>
      </c>
      <c r="D404" s="192"/>
      <c r="E404" s="192">
        <f>'Realisasi Mei'!G401</f>
        <v>0</v>
      </c>
      <c r="F404" s="192"/>
      <c r="G404" s="192">
        <f>E404+F404</f>
        <v>0</v>
      </c>
      <c r="H404" s="24" t="e">
        <f>G404/D404</f>
        <v>#DIV/0!</v>
      </c>
      <c r="I404" s="225" t="s">
        <v>216</v>
      </c>
      <c r="J404" s="175"/>
    </row>
    <row r="405" spans="1:10" s="176" customFormat="1" x14ac:dyDescent="0.25">
      <c r="A405" s="40"/>
      <c r="B405" s="190"/>
      <c r="C405" s="193"/>
      <c r="D405" s="192"/>
      <c r="E405" s="192"/>
      <c r="F405" s="192"/>
      <c r="G405" s="192"/>
      <c r="H405" s="24"/>
      <c r="I405" s="225"/>
      <c r="J405" s="175"/>
    </row>
    <row r="406" spans="1:10" s="176" customFormat="1" x14ac:dyDescent="0.25">
      <c r="A406" s="40"/>
      <c r="B406" s="167" t="s">
        <v>73</v>
      </c>
      <c r="C406" s="185" t="s">
        <v>232</v>
      </c>
      <c r="D406" s="191">
        <f>D407</f>
        <v>289414900</v>
      </c>
      <c r="E406" s="192">
        <f>'Realisasi Mei'!G403</f>
        <v>0</v>
      </c>
      <c r="F406" s="191">
        <f t="shared" ref="F406:G406" si="130">SUM(F407)</f>
        <v>0</v>
      </c>
      <c r="G406" s="191">
        <f t="shared" si="130"/>
        <v>0</v>
      </c>
      <c r="H406" s="236">
        <f>G406/D406</f>
        <v>0</v>
      </c>
      <c r="I406" s="225"/>
      <c r="J406" s="175"/>
    </row>
    <row r="407" spans="1:10" s="176" customFormat="1" x14ac:dyDescent="0.25">
      <c r="A407" s="40"/>
      <c r="B407" s="190" t="s">
        <v>557</v>
      </c>
      <c r="C407" s="183" t="s">
        <v>232</v>
      </c>
      <c r="D407" s="192">
        <v>289414900</v>
      </c>
      <c r="E407" s="192">
        <f>'Realisasi Mei'!G404</f>
        <v>0</v>
      </c>
      <c r="F407" s="192"/>
      <c r="G407" s="192">
        <f>E407+F407</f>
        <v>0</v>
      </c>
      <c r="H407" s="24">
        <f>G407/D407</f>
        <v>0</v>
      </c>
      <c r="I407" s="225" t="s">
        <v>216</v>
      </c>
      <c r="J407" s="175"/>
    </row>
    <row r="408" spans="1:10" s="176" customFormat="1" x14ac:dyDescent="0.25">
      <c r="A408" s="40"/>
      <c r="B408" s="190"/>
      <c r="C408" s="183"/>
      <c r="D408" s="192"/>
      <c r="E408" s="192"/>
      <c r="F408" s="192"/>
      <c r="G408" s="192"/>
      <c r="H408" s="24"/>
      <c r="I408" s="225"/>
      <c r="J408" s="175"/>
    </row>
    <row r="409" spans="1:10" s="176" customFormat="1" x14ac:dyDescent="0.25">
      <c r="A409" s="40"/>
      <c r="B409" s="167" t="s">
        <v>74</v>
      </c>
      <c r="C409" s="185" t="s">
        <v>233</v>
      </c>
      <c r="D409" s="191">
        <f>D410</f>
        <v>254403060</v>
      </c>
      <c r="E409" s="191">
        <f>'Realisasi Mei'!G406</f>
        <v>52966060</v>
      </c>
      <c r="F409" s="191">
        <f t="shared" ref="F409:G409" si="131">SUM(F410)</f>
        <v>0</v>
      </c>
      <c r="G409" s="191">
        <f t="shared" si="131"/>
        <v>52966060</v>
      </c>
      <c r="H409" s="236">
        <f>G409/D409</f>
        <v>0.20819741712226261</v>
      </c>
      <c r="I409" s="225"/>
      <c r="J409" s="175"/>
    </row>
    <row r="410" spans="1:10" s="176" customFormat="1" x14ac:dyDescent="0.25">
      <c r="A410" s="40"/>
      <c r="B410" s="190" t="s">
        <v>558</v>
      </c>
      <c r="C410" s="183" t="s">
        <v>233</v>
      </c>
      <c r="D410" s="192">
        <v>254403060</v>
      </c>
      <c r="E410" s="192">
        <f>'Realisasi Juni'!G409</f>
        <v>52966060</v>
      </c>
      <c r="F410" s="192"/>
      <c r="G410" s="192">
        <f>E410+F410</f>
        <v>52966060</v>
      </c>
      <c r="H410" s="24">
        <f>G410/D410</f>
        <v>0.20819741712226261</v>
      </c>
      <c r="I410" s="225" t="s">
        <v>216</v>
      </c>
      <c r="J410" s="175"/>
    </row>
    <row r="411" spans="1:10" s="176" customFormat="1" x14ac:dyDescent="0.25">
      <c r="A411" s="40"/>
      <c r="B411" s="22"/>
      <c r="C411" s="183"/>
      <c r="D411" s="192"/>
      <c r="E411" s="192"/>
      <c r="F411" s="192"/>
      <c r="G411" s="192"/>
      <c r="H411" s="24"/>
      <c r="I411" s="225"/>
      <c r="J411" s="175"/>
    </row>
    <row r="412" spans="1:10" s="176" customFormat="1" x14ac:dyDescent="0.25">
      <c r="A412" s="40"/>
      <c r="B412" s="167" t="s">
        <v>81</v>
      </c>
      <c r="C412" s="185" t="s">
        <v>234</v>
      </c>
      <c r="D412" s="191">
        <f>D413</f>
        <v>752600000</v>
      </c>
      <c r="E412" s="191">
        <f>'Realisasi Mei'!G409</f>
        <v>376300000</v>
      </c>
      <c r="F412" s="191">
        <f t="shared" ref="F412:G412" si="132">SUM(F413)</f>
        <v>0</v>
      </c>
      <c r="G412" s="191">
        <f t="shared" si="132"/>
        <v>376300000</v>
      </c>
      <c r="H412" s="236">
        <f>G412/D412</f>
        <v>0.5</v>
      </c>
      <c r="I412" s="225"/>
      <c r="J412" s="175"/>
    </row>
    <row r="413" spans="1:10" s="176" customFormat="1" x14ac:dyDescent="0.25">
      <c r="A413" s="40"/>
      <c r="B413" s="190" t="s">
        <v>559</v>
      </c>
      <c r="C413" s="183" t="s">
        <v>234</v>
      </c>
      <c r="D413" s="192">
        <v>752600000</v>
      </c>
      <c r="E413" s="192">
        <f>'Realisasi Juni'!G412</f>
        <v>376300000</v>
      </c>
      <c r="F413" s="192"/>
      <c r="G413" s="192">
        <f>E413+F413</f>
        <v>376300000</v>
      </c>
      <c r="H413" s="24">
        <f>G413/D413</f>
        <v>0.5</v>
      </c>
      <c r="I413" s="225" t="s">
        <v>216</v>
      </c>
      <c r="J413" s="175"/>
    </row>
    <row r="414" spans="1:10" s="176" customFormat="1" x14ac:dyDescent="0.25">
      <c r="A414" s="40"/>
      <c r="B414" s="22"/>
      <c r="C414" s="183"/>
      <c r="D414" s="192"/>
      <c r="E414" s="192"/>
      <c r="F414" s="192"/>
      <c r="G414" s="191"/>
      <c r="H414" s="236"/>
      <c r="I414" s="223"/>
      <c r="J414" s="175"/>
    </row>
    <row r="415" spans="1:10" s="176" customFormat="1" ht="25.5" customHeight="1" x14ac:dyDescent="0.25">
      <c r="A415" s="134" t="s">
        <v>417</v>
      </c>
      <c r="B415" s="135" t="s">
        <v>398</v>
      </c>
      <c r="C415" s="136" t="s">
        <v>399</v>
      </c>
      <c r="D415" s="137">
        <f>SUM(D416+D429)</f>
        <v>115695329081</v>
      </c>
      <c r="E415" s="137">
        <f t="shared" ref="E415:G415" si="133">SUM(E416+E429)</f>
        <v>37604730523</v>
      </c>
      <c r="F415" s="137">
        <f t="shared" si="133"/>
        <v>26823154144</v>
      </c>
      <c r="G415" s="137">
        <f t="shared" si="133"/>
        <v>64427884667</v>
      </c>
      <c r="H415" s="238">
        <f t="shared" ref="H415:H427" si="134">G415/D415</f>
        <v>0.55687541734630519</v>
      </c>
      <c r="I415" s="229"/>
      <c r="J415" s="175"/>
    </row>
    <row r="416" spans="1:10" s="176" customFormat="1" ht="25.5" customHeight="1" x14ac:dyDescent="0.25">
      <c r="A416" s="169" t="s">
        <v>426</v>
      </c>
      <c r="B416" s="189" t="s">
        <v>400</v>
      </c>
      <c r="C416" s="185" t="s">
        <v>401</v>
      </c>
      <c r="D416" s="191">
        <f>D417</f>
        <v>105229329081</v>
      </c>
      <c r="E416" s="191">
        <f t="shared" ref="E416:G416" si="135">E417</f>
        <v>34520730523</v>
      </c>
      <c r="F416" s="191">
        <f t="shared" si="135"/>
        <v>26823154144</v>
      </c>
      <c r="G416" s="191">
        <f t="shared" si="135"/>
        <v>61343884667</v>
      </c>
      <c r="H416" s="236">
        <f t="shared" si="134"/>
        <v>0.58295425051869998</v>
      </c>
      <c r="I416" s="230"/>
      <c r="J416" s="175"/>
    </row>
    <row r="417" spans="1:10" s="176" customFormat="1" ht="25.5" customHeight="1" x14ac:dyDescent="0.25">
      <c r="A417" s="169"/>
      <c r="B417" s="189" t="s">
        <v>402</v>
      </c>
      <c r="C417" s="185" t="s">
        <v>403</v>
      </c>
      <c r="D417" s="191">
        <f>SUM(D418:D427)</f>
        <v>105229329081</v>
      </c>
      <c r="E417" s="191">
        <f t="shared" ref="E417:G417" si="136">SUM(E418:E427)</f>
        <v>34520730523</v>
      </c>
      <c r="F417" s="191">
        <f t="shared" si="136"/>
        <v>26823154144</v>
      </c>
      <c r="G417" s="191">
        <f t="shared" si="136"/>
        <v>61343884667</v>
      </c>
      <c r="H417" s="236">
        <f t="shared" si="134"/>
        <v>0.58295425051869998</v>
      </c>
      <c r="I417" s="230"/>
      <c r="J417" s="175"/>
    </row>
    <row r="418" spans="1:10" s="176" customFormat="1" ht="25.5" customHeight="1" x14ac:dyDescent="0.25">
      <c r="A418" s="184" t="s">
        <v>89</v>
      </c>
      <c r="B418" s="190" t="s">
        <v>561</v>
      </c>
      <c r="C418" s="183" t="s">
        <v>244</v>
      </c>
      <c r="D418" s="178">
        <v>26706000000</v>
      </c>
      <c r="E418" s="178">
        <f>'Realisasi Juni'!G417</f>
        <v>6549814185</v>
      </c>
      <c r="F418" s="178">
        <v>6583575124</v>
      </c>
      <c r="G418" s="192">
        <f>E418+F418</f>
        <v>13133389309</v>
      </c>
      <c r="H418" s="24">
        <f t="shared" si="134"/>
        <v>0.49177672841309067</v>
      </c>
      <c r="I418" s="231"/>
      <c r="J418" s="175"/>
    </row>
    <row r="419" spans="1:10" s="176" customFormat="1" ht="25.5" customHeight="1" x14ac:dyDescent="0.25">
      <c r="A419" s="188"/>
      <c r="B419" s="178"/>
      <c r="C419" s="193" t="s">
        <v>664</v>
      </c>
      <c r="D419" s="55"/>
      <c r="E419" s="178">
        <f>'Realisasi Juni'!G418</f>
        <v>0</v>
      </c>
      <c r="F419" s="55"/>
      <c r="G419" s="192">
        <f t="shared" ref="G419:G427" si="137">E419+F419</f>
        <v>0</v>
      </c>
      <c r="H419" s="24" t="e">
        <f t="shared" si="134"/>
        <v>#DIV/0!</v>
      </c>
      <c r="I419" s="231"/>
      <c r="J419" s="175"/>
    </row>
    <row r="420" spans="1:10" s="176" customFormat="1" ht="25.5" customHeight="1" x14ac:dyDescent="0.25">
      <c r="A420" s="184" t="s">
        <v>91</v>
      </c>
      <c r="B420" s="190" t="s">
        <v>562</v>
      </c>
      <c r="C420" s="183" t="s">
        <v>245</v>
      </c>
      <c r="D420" s="178">
        <v>16184831606</v>
      </c>
      <c r="E420" s="178">
        <f>'Realisasi Juni'!G419</f>
        <v>5553591878</v>
      </c>
      <c r="F420" s="178">
        <v>5574123378</v>
      </c>
      <c r="G420" s="192">
        <f t="shared" si="137"/>
        <v>11127715256</v>
      </c>
      <c r="H420" s="24">
        <f t="shared" si="134"/>
        <v>0.68753976111032022</v>
      </c>
      <c r="I420" s="231"/>
      <c r="J420" s="175"/>
    </row>
    <row r="421" spans="1:10" s="176" customFormat="1" ht="25.5" customHeight="1" x14ac:dyDescent="0.25">
      <c r="A421" s="188"/>
      <c r="B421" s="178"/>
      <c r="C421" s="193" t="s">
        <v>665</v>
      </c>
      <c r="D421" s="55"/>
      <c r="E421" s="178">
        <f>'Realisasi Juni'!G420</f>
        <v>0</v>
      </c>
      <c r="F421" s="55"/>
      <c r="G421" s="192">
        <f t="shared" si="137"/>
        <v>0</v>
      </c>
      <c r="H421" s="24" t="e">
        <f t="shared" si="134"/>
        <v>#DIV/0!</v>
      </c>
      <c r="I421" s="232"/>
      <c r="J421" s="175"/>
    </row>
    <row r="422" spans="1:10" s="176" customFormat="1" ht="25.5" customHeight="1" x14ac:dyDescent="0.25">
      <c r="A422" s="184" t="s">
        <v>72</v>
      </c>
      <c r="B422" s="190" t="s">
        <v>563</v>
      </c>
      <c r="C422" s="183" t="s">
        <v>246</v>
      </c>
      <c r="D422" s="178">
        <v>45000000000</v>
      </c>
      <c r="E422" s="178">
        <f>'Realisasi Juni'!G421</f>
        <v>13165751117</v>
      </c>
      <c r="F422" s="178">
        <v>14358788560</v>
      </c>
      <c r="G422" s="192">
        <f t="shared" si="137"/>
        <v>27524539677</v>
      </c>
      <c r="H422" s="24">
        <f t="shared" si="134"/>
        <v>0.61165643726666663</v>
      </c>
      <c r="I422" s="232"/>
      <c r="J422" s="175"/>
    </row>
    <row r="423" spans="1:10" s="176" customFormat="1" ht="25.5" customHeight="1" x14ac:dyDescent="0.25">
      <c r="A423" s="188"/>
      <c r="B423" s="178"/>
      <c r="C423" s="193" t="s">
        <v>666</v>
      </c>
      <c r="D423" s="55"/>
      <c r="E423" s="178">
        <f>'Realisasi Juni'!G422</f>
        <v>0</v>
      </c>
      <c r="F423" s="55"/>
      <c r="G423" s="192">
        <f t="shared" si="137"/>
        <v>0</v>
      </c>
      <c r="H423" s="24" t="e">
        <f t="shared" si="134"/>
        <v>#DIV/0!</v>
      </c>
      <c r="I423" s="231"/>
      <c r="J423" s="175"/>
    </row>
    <row r="424" spans="1:10" s="176" customFormat="1" ht="25.5" customHeight="1" x14ac:dyDescent="0.25">
      <c r="A424" s="184" t="s">
        <v>168</v>
      </c>
      <c r="B424" s="190" t="s">
        <v>564</v>
      </c>
      <c r="C424" s="183" t="s">
        <v>247</v>
      </c>
      <c r="D424" s="192">
        <v>1534998000</v>
      </c>
      <c r="E424" s="178">
        <f>'Realisasi Juni'!G423</f>
        <v>239521276</v>
      </c>
      <c r="F424" s="192">
        <v>306667082</v>
      </c>
      <c r="G424" s="192">
        <f t="shared" si="137"/>
        <v>546188358</v>
      </c>
      <c r="H424" s="24">
        <f t="shared" si="134"/>
        <v>0.35582349814136566</v>
      </c>
      <c r="I424" s="233"/>
      <c r="J424" s="175"/>
    </row>
    <row r="425" spans="1:10" s="176" customFormat="1" ht="25.5" customHeight="1" x14ac:dyDescent="0.25">
      <c r="A425" s="188"/>
      <c r="B425" s="178"/>
      <c r="C425" s="193" t="s">
        <v>667</v>
      </c>
      <c r="D425" s="55"/>
      <c r="E425" s="178">
        <f>'Realisasi Juni'!G424</f>
        <v>0</v>
      </c>
      <c r="F425" s="55"/>
      <c r="G425" s="192">
        <f t="shared" si="137"/>
        <v>0</v>
      </c>
      <c r="H425" s="24" t="e">
        <f t="shared" si="134"/>
        <v>#DIV/0!</v>
      </c>
      <c r="I425" s="232"/>
      <c r="J425" s="175"/>
    </row>
    <row r="426" spans="1:10" s="176" customFormat="1" ht="25.5" customHeight="1" x14ac:dyDescent="0.25">
      <c r="A426" s="184" t="s">
        <v>404</v>
      </c>
      <c r="B426" s="190" t="s">
        <v>565</v>
      </c>
      <c r="C426" s="183" t="s">
        <v>248</v>
      </c>
      <c r="D426" s="178">
        <v>15803499475</v>
      </c>
      <c r="E426" s="178">
        <f>'Realisasi Juni'!G425</f>
        <v>6071989703</v>
      </c>
      <c r="F426" s="178"/>
      <c r="G426" s="192">
        <f t="shared" si="137"/>
        <v>6071989703</v>
      </c>
      <c r="H426" s="24">
        <f t="shared" si="134"/>
        <v>0.38421804693355743</v>
      </c>
      <c r="I426" s="232"/>
      <c r="J426" s="175"/>
    </row>
    <row r="427" spans="1:10" s="176" customFormat="1" ht="25.5" customHeight="1" x14ac:dyDescent="0.25">
      <c r="A427" s="188"/>
      <c r="B427" s="178"/>
      <c r="C427" s="193" t="s">
        <v>668</v>
      </c>
      <c r="D427" s="55"/>
      <c r="E427" s="178">
        <f>'Realisasi Juni'!G426</f>
        <v>2940062364</v>
      </c>
      <c r="F427" s="55"/>
      <c r="G427" s="192">
        <f t="shared" si="137"/>
        <v>2940062364</v>
      </c>
      <c r="H427" s="24" t="e">
        <f t="shared" si="134"/>
        <v>#DIV/0!</v>
      </c>
      <c r="I427" s="231"/>
      <c r="J427" s="175"/>
    </row>
    <row r="428" spans="1:10" s="176" customFormat="1" ht="25.5" customHeight="1" x14ac:dyDescent="0.25">
      <c r="A428" s="188"/>
      <c r="B428" s="178"/>
      <c r="C428" s="193"/>
      <c r="D428" s="55"/>
      <c r="E428" s="55"/>
      <c r="F428" s="55"/>
      <c r="G428" s="192"/>
      <c r="H428" s="24"/>
      <c r="I428" s="231"/>
      <c r="J428" s="175"/>
    </row>
    <row r="429" spans="1:10" s="176" customFormat="1" ht="25.5" customHeight="1" x14ac:dyDescent="0.25">
      <c r="A429" s="169" t="s">
        <v>163</v>
      </c>
      <c r="B429" s="189" t="s">
        <v>425</v>
      </c>
      <c r="C429" s="185" t="s">
        <v>428</v>
      </c>
      <c r="D429" s="53">
        <f>SUM(D430+D432)</f>
        <v>10466000000</v>
      </c>
      <c r="E429" s="53">
        <f>E432</f>
        <v>3084000000</v>
      </c>
      <c r="F429" s="53">
        <f t="shared" ref="F429:G429" si="138">SUM(F430+F432)</f>
        <v>0</v>
      </c>
      <c r="G429" s="53">
        <f t="shared" si="138"/>
        <v>3084000000</v>
      </c>
      <c r="H429" s="236">
        <f>G429/D429</f>
        <v>0.29466845021975924</v>
      </c>
      <c r="I429" s="231"/>
      <c r="J429" s="175"/>
    </row>
    <row r="430" spans="1:10" s="176" customFormat="1" ht="25.5" customHeight="1" x14ac:dyDescent="0.25">
      <c r="A430" s="188"/>
      <c r="B430" s="189" t="s">
        <v>429</v>
      </c>
      <c r="C430" s="185" t="s">
        <v>430</v>
      </c>
      <c r="D430" s="55">
        <f>D431</f>
        <v>0</v>
      </c>
      <c r="E430" s="55"/>
      <c r="F430" s="55">
        <f>F431</f>
        <v>0</v>
      </c>
      <c r="G430" s="192">
        <f>F430-D430</f>
        <v>0</v>
      </c>
      <c r="H430" s="24"/>
      <c r="I430" s="231"/>
      <c r="J430" s="175"/>
    </row>
    <row r="431" spans="1:10" s="176" customFormat="1" ht="25.5" customHeight="1" x14ac:dyDescent="0.25">
      <c r="A431" s="188"/>
      <c r="B431" s="189" t="s">
        <v>431</v>
      </c>
      <c r="C431" s="185" t="s">
        <v>432</v>
      </c>
      <c r="D431" s="55"/>
      <c r="E431" s="55"/>
      <c r="F431" s="55"/>
      <c r="G431" s="192">
        <f>F431-D431</f>
        <v>0</v>
      </c>
      <c r="H431" s="24"/>
      <c r="I431" s="231"/>
      <c r="J431" s="175"/>
    </row>
    <row r="432" spans="1:10" s="176" customFormat="1" ht="25.5" customHeight="1" x14ac:dyDescent="0.25">
      <c r="A432" s="188"/>
      <c r="B432" s="189" t="s">
        <v>433</v>
      </c>
      <c r="C432" s="185" t="s">
        <v>434</v>
      </c>
      <c r="D432" s="53">
        <f>D433+D435+D436</f>
        <v>10466000000</v>
      </c>
      <c r="E432" s="53">
        <f>E433</f>
        <v>3084000000</v>
      </c>
      <c r="F432" s="53">
        <f t="shared" ref="F432:G432" si="139">F433+F435+F436</f>
        <v>0</v>
      </c>
      <c r="G432" s="53">
        <f t="shared" si="139"/>
        <v>3084000000</v>
      </c>
      <c r="H432" s="236">
        <f t="shared" ref="H432:H446" si="140">G432/D432</f>
        <v>0.29466845021975924</v>
      </c>
      <c r="I432" s="231"/>
      <c r="J432" s="175"/>
    </row>
    <row r="433" spans="1:10" s="176" customFormat="1" ht="25.5" customHeight="1" x14ac:dyDescent="0.25">
      <c r="A433" s="188"/>
      <c r="B433" s="189" t="s">
        <v>566</v>
      </c>
      <c r="C433" s="185" t="s">
        <v>445</v>
      </c>
      <c r="D433" s="53">
        <f>D434</f>
        <v>10466000000</v>
      </c>
      <c r="E433" s="53">
        <f>SUM(E434:E436)</f>
        <v>3084000000</v>
      </c>
      <c r="F433" s="53">
        <f t="shared" ref="F433:G433" si="141">F434</f>
        <v>0</v>
      </c>
      <c r="G433" s="53">
        <f t="shared" si="141"/>
        <v>3084000000</v>
      </c>
      <c r="H433" s="236">
        <f t="shared" si="140"/>
        <v>0.29466845021975924</v>
      </c>
      <c r="I433" s="231"/>
      <c r="J433" s="175"/>
    </row>
    <row r="434" spans="1:10" s="176" customFormat="1" ht="25.5" customHeight="1" x14ac:dyDescent="0.25">
      <c r="A434" s="188"/>
      <c r="B434" s="189"/>
      <c r="C434" s="35" t="s">
        <v>602</v>
      </c>
      <c r="D434" s="53">
        <v>10466000000</v>
      </c>
      <c r="E434" s="53">
        <f>'Realisasi Juni'!G433</f>
        <v>3084000000</v>
      </c>
      <c r="F434" s="53"/>
      <c r="G434" s="191">
        <f>E434+F434</f>
        <v>3084000000</v>
      </c>
      <c r="H434" s="236">
        <f t="shared" si="140"/>
        <v>0.29466845021975924</v>
      </c>
      <c r="I434" s="231"/>
      <c r="J434" s="175"/>
    </row>
    <row r="435" spans="1:10" s="176" customFormat="1" ht="25.5" customHeight="1" x14ac:dyDescent="0.25">
      <c r="A435" s="188"/>
      <c r="B435" s="189"/>
      <c r="C435" s="35" t="s">
        <v>603</v>
      </c>
      <c r="D435" s="53"/>
      <c r="E435" s="53"/>
      <c r="F435" s="53"/>
      <c r="G435" s="191">
        <f t="shared" ref="G435:G438" si="142">E435+F435</f>
        <v>0</v>
      </c>
      <c r="H435" s="236" t="e">
        <f t="shared" si="140"/>
        <v>#DIV/0!</v>
      </c>
      <c r="I435" s="231"/>
      <c r="J435" s="175"/>
    </row>
    <row r="436" spans="1:10" s="176" customFormat="1" ht="25.5" customHeight="1" x14ac:dyDescent="0.25">
      <c r="A436" s="188"/>
      <c r="B436" s="189"/>
      <c r="C436" s="35" t="s">
        <v>604</v>
      </c>
      <c r="D436" s="53">
        <f>SUM(D437:D438)</f>
        <v>0</v>
      </c>
      <c r="E436" s="53"/>
      <c r="F436" s="53">
        <f t="shared" ref="F436" si="143">SUM(F437:F438)</f>
        <v>0</v>
      </c>
      <c r="G436" s="191">
        <f t="shared" si="142"/>
        <v>0</v>
      </c>
      <c r="H436" s="236" t="e">
        <f t="shared" si="140"/>
        <v>#DIV/0!</v>
      </c>
      <c r="I436" s="231"/>
      <c r="J436" s="175"/>
    </row>
    <row r="437" spans="1:10" s="176" customFormat="1" ht="25.5" customHeight="1" x14ac:dyDescent="0.25">
      <c r="A437" s="188"/>
      <c r="B437" s="189"/>
      <c r="C437" s="193" t="s">
        <v>605</v>
      </c>
      <c r="D437" s="55"/>
      <c r="E437" s="55"/>
      <c r="F437" s="55"/>
      <c r="G437" s="191">
        <f t="shared" si="142"/>
        <v>0</v>
      </c>
      <c r="H437" s="24" t="e">
        <f t="shared" si="140"/>
        <v>#DIV/0!</v>
      </c>
      <c r="I437" s="231"/>
      <c r="J437" s="175"/>
    </row>
    <row r="438" spans="1:10" s="176" customFormat="1" ht="25.5" customHeight="1" x14ac:dyDescent="0.25">
      <c r="A438" s="188"/>
      <c r="B438" s="178"/>
      <c r="C438" s="193" t="s">
        <v>606</v>
      </c>
      <c r="D438" s="55"/>
      <c r="E438" s="55"/>
      <c r="F438" s="55"/>
      <c r="G438" s="191">
        <f t="shared" si="142"/>
        <v>0</v>
      </c>
      <c r="H438" s="24" t="e">
        <f t="shared" si="140"/>
        <v>#DIV/0!</v>
      </c>
      <c r="I438" s="231"/>
      <c r="J438" s="175"/>
    </row>
    <row r="439" spans="1:10" s="176" customFormat="1" ht="25.5" customHeight="1" x14ac:dyDescent="0.25">
      <c r="A439" s="129" t="s">
        <v>241</v>
      </c>
      <c r="B439" s="128" t="s">
        <v>242</v>
      </c>
      <c r="C439" s="41" t="s">
        <v>243</v>
      </c>
      <c r="D439" s="42">
        <f>D440</f>
        <v>0</v>
      </c>
      <c r="E439" s="42"/>
      <c r="F439" s="42">
        <f t="shared" ref="F439:G440" si="144">F440</f>
        <v>0</v>
      </c>
      <c r="G439" s="42">
        <f t="shared" si="144"/>
        <v>0</v>
      </c>
      <c r="H439" s="237" t="e">
        <f t="shared" si="140"/>
        <v>#DIV/0!</v>
      </c>
      <c r="I439" s="231"/>
      <c r="J439" s="175"/>
    </row>
    <row r="440" spans="1:10" s="176" customFormat="1" ht="41.25" customHeight="1" x14ac:dyDescent="0.25">
      <c r="A440" s="168" t="s">
        <v>166</v>
      </c>
      <c r="B440" s="189" t="s">
        <v>418</v>
      </c>
      <c r="C440" s="30" t="s">
        <v>419</v>
      </c>
      <c r="D440" s="191">
        <f>D441</f>
        <v>0</v>
      </c>
      <c r="E440" s="191"/>
      <c r="F440" s="191">
        <f t="shared" si="144"/>
        <v>0</v>
      </c>
      <c r="G440" s="191">
        <f t="shared" si="144"/>
        <v>0</v>
      </c>
      <c r="H440" s="236" t="e">
        <f t="shared" si="140"/>
        <v>#DIV/0!</v>
      </c>
      <c r="I440" s="231"/>
      <c r="J440" s="175"/>
    </row>
    <row r="441" spans="1:10" s="176" customFormat="1" ht="25.5" customHeight="1" x14ac:dyDescent="0.25">
      <c r="A441" s="169"/>
      <c r="B441" s="189" t="s">
        <v>420</v>
      </c>
      <c r="C441" s="185" t="s">
        <v>421</v>
      </c>
      <c r="D441" s="191">
        <f>D442+D456</f>
        <v>0</v>
      </c>
      <c r="E441" s="191"/>
      <c r="F441" s="191">
        <f t="shared" ref="F441:G441" si="145">F442+F456</f>
        <v>0</v>
      </c>
      <c r="G441" s="191">
        <f t="shared" si="145"/>
        <v>0</v>
      </c>
      <c r="H441" s="236" t="e">
        <f t="shared" si="140"/>
        <v>#DIV/0!</v>
      </c>
      <c r="I441" s="231"/>
      <c r="J441" s="175"/>
    </row>
    <row r="442" spans="1:10" s="176" customFormat="1" ht="25.5" customHeight="1" x14ac:dyDescent="0.25">
      <c r="A442" s="168" t="s">
        <v>89</v>
      </c>
      <c r="B442" s="189" t="s">
        <v>422</v>
      </c>
      <c r="C442" s="185" t="s">
        <v>423</v>
      </c>
      <c r="D442" s="191">
        <f>D443</f>
        <v>0</v>
      </c>
      <c r="E442" s="191"/>
      <c r="F442" s="191">
        <f t="shared" ref="F442:G442" si="146">F443</f>
        <v>0</v>
      </c>
      <c r="G442" s="191">
        <f t="shared" si="146"/>
        <v>0</v>
      </c>
      <c r="H442" s="236" t="e">
        <f t="shared" si="140"/>
        <v>#DIV/0!</v>
      </c>
      <c r="I442" s="231"/>
      <c r="J442" s="175"/>
    </row>
    <row r="443" spans="1:10" s="176" customFormat="1" ht="25.5" customHeight="1" x14ac:dyDescent="0.25">
      <c r="A443" s="169"/>
      <c r="B443" s="190" t="s">
        <v>424</v>
      </c>
      <c r="C443" s="183" t="s">
        <v>423</v>
      </c>
      <c r="D443" s="192"/>
      <c r="E443" s="192"/>
      <c r="F443" s="192"/>
      <c r="G443" s="192">
        <f>E443+F443</f>
        <v>0</v>
      </c>
      <c r="H443" s="24" t="e">
        <f t="shared" si="140"/>
        <v>#DIV/0!</v>
      </c>
      <c r="I443" s="231"/>
      <c r="J443" s="175"/>
    </row>
    <row r="444" spans="1:10" s="176" customFormat="1" ht="25.5" customHeight="1" x14ac:dyDescent="0.25">
      <c r="A444" s="169"/>
      <c r="B444" s="190"/>
      <c r="C444" s="193" t="s">
        <v>607</v>
      </c>
      <c r="D444" s="192"/>
      <c r="E444" s="192"/>
      <c r="F444" s="192"/>
      <c r="G444" s="192"/>
      <c r="H444" s="24" t="e">
        <f t="shared" si="140"/>
        <v>#DIV/0!</v>
      </c>
      <c r="I444" s="231"/>
      <c r="J444" s="175"/>
    </row>
    <row r="445" spans="1:10" s="176" customFormat="1" ht="25.5" customHeight="1" x14ac:dyDescent="0.25">
      <c r="A445" s="169"/>
      <c r="B445" s="190"/>
      <c r="C445" s="193" t="s">
        <v>608</v>
      </c>
      <c r="D445" s="192"/>
      <c r="E445" s="192"/>
      <c r="F445" s="192"/>
      <c r="G445" s="192"/>
      <c r="H445" s="24" t="e">
        <f t="shared" si="140"/>
        <v>#DIV/0!</v>
      </c>
      <c r="I445" s="231"/>
      <c r="J445" s="175"/>
    </row>
    <row r="446" spans="1:10" s="176" customFormat="1" ht="25.5" customHeight="1" x14ac:dyDescent="0.25">
      <c r="A446" s="169"/>
      <c r="B446" s="190"/>
      <c r="C446" s="193" t="s">
        <v>609</v>
      </c>
      <c r="D446" s="192"/>
      <c r="E446" s="192"/>
      <c r="F446" s="192"/>
      <c r="G446" s="192"/>
      <c r="H446" s="24" t="e">
        <f t="shared" si="140"/>
        <v>#DIV/0!</v>
      </c>
      <c r="I446" s="231"/>
      <c r="J446" s="175"/>
    </row>
    <row r="447" spans="1:10" s="176" customFormat="1" ht="25.5" customHeight="1" x14ac:dyDescent="0.25">
      <c r="A447" s="169"/>
      <c r="B447" s="190"/>
      <c r="C447" s="183" t="s">
        <v>610</v>
      </c>
      <c r="D447" s="192"/>
      <c r="E447" s="192"/>
      <c r="F447" s="192"/>
      <c r="G447" s="192"/>
      <c r="H447" s="24"/>
      <c r="I447" s="231"/>
      <c r="J447" s="175"/>
    </row>
    <row r="448" spans="1:10" s="176" customFormat="1" ht="25.5" customHeight="1" x14ac:dyDescent="0.25">
      <c r="A448" s="169"/>
      <c r="B448" s="190"/>
      <c r="C448" s="183" t="s">
        <v>611</v>
      </c>
      <c r="D448" s="192"/>
      <c r="E448" s="192"/>
      <c r="F448" s="192"/>
      <c r="G448" s="192"/>
      <c r="H448" s="24"/>
      <c r="I448" s="231"/>
      <c r="J448" s="175"/>
    </row>
    <row r="449" spans="1:10" s="176" customFormat="1" ht="25.5" customHeight="1" x14ac:dyDescent="0.25">
      <c r="A449" s="169"/>
      <c r="B449" s="190"/>
      <c r="C449" s="183" t="s">
        <v>612</v>
      </c>
      <c r="D449" s="192"/>
      <c r="E449" s="192"/>
      <c r="F449" s="192"/>
      <c r="G449" s="192"/>
      <c r="H449" s="24"/>
      <c r="I449" s="231"/>
      <c r="J449" s="175"/>
    </row>
    <row r="450" spans="1:10" s="176" customFormat="1" ht="25.5" customHeight="1" x14ac:dyDescent="0.25">
      <c r="A450" s="169"/>
      <c r="B450" s="190"/>
      <c r="C450" s="183" t="s">
        <v>613</v>
      </c>
      <c r="D450" s="192"/>
      <c r="E450" s="192"/>
      <c r="F450" s="192"/>
      <c r="G450" s="192"/>
      <c r="H450" s="24"/>
      <c r="I450" s="231"/>
      <c r="J450" s="175"/>
    </row>
    <row r="451" spans="1:10" s="176" customFormat="1" ht="25.5" customHeight="1" x14ac:dyDescent="0.25">
      <c r="A451" s="169"/>
      <c r="B451" s="190"/>
      <c r="C451" s="193" t="s">
        <v>614</v>
      </c>
      <c r="D451" s="192"/>
      <c r="E451" s="192"/>
      <c r="F451" s="192"/>
      <c r="G451" s="192"/>
      <c r="H451" s="24" t="e">
        <f>G451/D451</f>
        <v>#DIV/0!</v>
      </c>
      <c r="I451" s="231"/>
      <c r="J451" s="175"/>
    </row>
    <row r="452" spans="1:10" s="176" customFormat="1" ht="25.5" customHeight="1" x14ac:dyDescent="0.25">
      <c r="A452" s="169"/>
      <c r="B452" s="190"/>
      <c r="C452" s="183" t="s">
        <v>616</v>
      </c>
      <c r="D452" s="192"/>
      <c r="E452" s="192"/>
      <c r="F452" s="192"/>
      <c r="G452" s="192"/>
      <c r="H452" s="24"/>
      <c r="I452" s="231"/>
      <c r="J452" s="175"/>
    </row>
    <row r="453" spans="1:10" s="176" customFormat="1" ht="25.5" customHeight="1" x14ac:dyDescent="0.25">
      <c r="A453" s="169"/>
      <c r="B453" s="190"/>
      <c r="C453" s="183" t="s">
        <v>615</v>
      </c>
      <c r="D453" s="192"/>
      <c r="E453" s="192"/>
      <c r="F453" s="192"/>
      <c r="G453" s="192"/>
      <c r="H453" s="24"/>
      <c r="I453" s="231"/>
      <c r="J453" s="175"/>
    </row>
    <row r="454" spans="1:10" s="176" customFormat="1" ht="25.5" customHeight="1" x14ac:dyDescent="0.25">
      <c r="A454" s="169"/>
      <c r="B454" s="190"/>
      <c r="C454" s="183" t="s">
        <v>617</v>
      </c>
      <c r="D454" s="192"/>
      <c r="E454" s="192"/>
      <c r="F454" s="192"/>
      <c r="G454" s="192"/>
      <c r="H454" s="24"/>
      <c r="I454" s="231"/>
      <c r="J454" s="175"/>
    </row>
    <row r="455" spans="1:10" s="176" customFormat="1" ht="25.5" customHeight="1" x14ac:dyDescent="0.25">
      <c r="A455" s="169"/>
      <c r="B455" s="190"/>
      <c r="C455" s="183"/>
      <c r="D455" s="192"/>
      <c r="E455" s="192"/>
      <c r="F455" s="192"/>
      <c r="G455" s="192"/>
      <c r="H455" s="24"/>
      <c r="I455" s="231"/>
      <c r="J455" s="175"/>
    </row>
    <row r="456" spans="1:10" s="176" customFormat="1" ht="25.5" customHeight="1" x14ac:dyDescent="0.25">
      <c r="A456" s="168" t="s">
        <v>91</v>
      </c>
      <c r="B456" s="189" t="s">
        <v>618</v>
      </c>
      <c r="C456" s="185" t="s">
        <v>620</v>
      </c>
      <c r="D456" s="191">
        <f>D457</f>
        <v>0</v>
      </c>
      <c r="E456" s="191"/>
      <c r="F456" s="191">
        <f t="shared" ref="F456:G456" si="147">F457</f>
        <v>0</v>
      </c>
      <c r="G456" s="191">
        <f t="shared" si="147"/>
        <v>0</v>
      </c>
      <c r="H456" s="236" t="e">
        <f>G456/D456</f>
        <v>#DIV/0!</v>
      </c>
      <c r="I456" s="231"/>
      <c r="J456" s="175"/>
    </row>
    <row r="457" spans="1:10" s="176" customFormat="1" ht="32.25" customHeight="1" x14ac:dyDescent="0.25">
      <c r="A457" s="169"/>
      <c r="B457" s="190" t="s">
        <v>619</v>
      </c>
      <c r="C457" s="58" t="s">
        <v>621</v>
      </c>
      <c r="D457" s="192">
        <v>0</v>
      </c>
      <c r="E457" s="192"/>
      <c r="F457" s="192"/>
      <c r="G457" s="192"/>
      <c r="H457" s="24" t="e">
        <f>G457/D457</f>
        <v>#DIV/0!</v>
      </c>
      <c r="I457" s="231"/>
      <c r="J457" s="175"/>
    </row>
    <row r="458" spans="1:10" s="176" customFormat="1" ht="25.5" customHeight="1" x14ac:dyDescent="0.25">
      <c r="A458" s="169"/>
      <c r="B458" s="190"/>
      <c r="C458" s="183"/>
      <c r="D458" s="192"/>
      <c r="E458" s="192"/>
      <c r="F458" s="192"/>
      <c r="G458" s="192"/>
      <c r="H458" s="24"/>
      <c r="I458" s="231"/>
      <c r="J458" s="175"/>
    </row>
    <row r="459" spans="1:10" s="176" customFormat="1" ht="30.75" customHeight="1" thickBot="1" x14ac:dyDescent="0.3">
      <c r="A459" s="59"/>
      <c r="B459" s="60"/>
      <c r="C459" s="61" t="s">
        <v>249</v>
      </c>
      <c r="D459" s="62">
        <f>D11</f>
        <v>1277356744453.6699</v>
      </c>
      <c r="E459" s="62">
        <f>E11</f>
        <v>640419657794.95996</v>
      </c>
      <c r="F459" s="62">
        <f t="shared" ref="F459:G459" si="148">F11</f>
        <v>134113463532.98999</v>
      </c>
      <c r="G459" s="62">
        <f t="shared" si="148"/>
        <v>774533121327.94995</v>
      </c>
      <c r="H459" s="242">
        <f>G459/D459</f>
        <v>0.60635615280617672</v>
      </c>
      <c r="I459" s="234"/>
      <c r="J459" s="175"/>
    </row>
    <row r="460" spans="1:10" s="176" customFormat="1" hidden="1" x14ac:dyDescent="0.25">
      <c r="A460" s="63"/>
      <c r="B460" s="64"/>
      <c r="C460" s="65"/>
      <c r="D460" s="66"/>
      <c r="E460" s="66"/>
      <c r="F460" s="66"/>
      <c r="G460" s="66"/>
      <c r="H460" s="66"/>
      <c r="I460" s="67" t="e">
        <f>SUM(F460/D460)</f>
        <v>#DIV/0!</v>
      </c>
      <c r="J460" s="175"/>
    </row>
    <row r="461" spans="1:10" s="176" customFormat="1" hidden="1" x14ac:dyDescent="0.25">
      <c r="A461" s="68" t="s">
        <v>250</v>
      </c>
      <c r="B461" s="69" t="s">
        <v>46</v>
      </c>
      <c r="C461" s="70" t="s">
        <v>251</v>
      </c>
      <c r="D461" s="71" t="e">
        <f>SUM(#REF!-#REF!)</f>
        <v>#REF!</v>
      </c>
      <c r="E461" s="71"/>
      <c r="F461" s="71" t="e">
        <f>SUM(#REF!-#REF!)</f>
        <v>#REF!</v>
      </c>
      <c r="G461" s="71"/>
      <c r="H461" s="71"/>
      <c r="I461" s="72" t="e">
        <f>SUM(F461/#REF!)</f>
        <v>#REF!</v>
      </c>
      <c r="J461" s="175"/>
    </row>
    <row r="462" spans="1:10" s="176" customFormat="1" hidden="1" x14ac:dyDescent="0.25">
      <c r="A462" s="68"/>
      <c r="B462" s="69" t="s">
        <v>252</v>
      </c>
      <c r="C462" s="70" t="s">
        <v>253</v>
      </c>
      <c r="D462" s="71" t="e">
        <f>SUM(#REF!-#REF!)</f>
        <v>#REF!</v>
      </c>
      <c r="E462" s="71"/>
      <c r="F462" s="71" t="e">
        <f>SUM(#REF!-#REF!)</f>
        <v>#REF!</v>
      </c>
      <c r="G462" s="71"/>
      <c r="H462" s="71"/>
      <c r="I462" s="72" t="e">
        <f>SUM(F462/#REF!)</f>
        <v>#REF!</v>
      </c>
      <c r="J462" s="175"/>
    </row>
    <row r="463" spans="1:10" s="176" customFormat="1" hidden="1" x14ac:dyDescent="0.25">
      <c r="A463" s="68"/>
      <c r="B463" s="69" t="s">
        <v>254</v>
      </c>
      <c r="C463" s="70" t="s">
        <v>255</v>
      </c>
      <c r="D463" s="71" t="e">
        <f>SUM(#REF!-#REF!)</f>
        <v>#REF!</v>
      </c>
      <c r="E463" s="71"/>
      <c r="F463" s="71" t="e">
        <f>SUM(#REF!-#REF!)</f>
        <v>#REF!</v>
      </c>
      <c r="G463" s="71"/>
      <c r="H463" s="71"/>
      <c r="I463" s="72" t="e">
        <f>SUM(F463/#REF!)</f>
        <v>#REF!</v>
      </c>
      <c r="J463" s="175"/>
    </row>
    <row r="464" spans="1:10" s="176" customFormat="1" hidden="1" x14ac:dyDescent="0.25">
      <c r="A464" s="68"/>
      <c r="B464" s="69" t="s">
        <v>256</v>
      </c>
      <c r="C464" s="70" t="s">
        <v>257</v>
      </c>
      <c r="D464" s="71" t="e">
        <f>SUM(#REF!-#REF!)</f>
        <v>#REF!</v>
      </c>
      <c r="E464" s="71"/>
      <c r="F464" s="71" t="e">
        <f>SUM(#REF!-#REF!)</f>
        <v>#REF!</v>
      </c>
      <c r="G464" s="71"/>
      <c r="H464" s="71"/>
      <c r="I464" s="72">
        <v>1</v>
      </c>
      <c r="J464" s="175"/>
    </row>
    <row r="465" spans="1:10" s="176" customFormat="1" hidden="1" x14ac:dyDescent="0.25">
      <c r="A465" s="68"/>
      <c r="B465" s="69" t="s">
        <v>258</v>
      </c>
      <c r="C465" s="70" t="s">
        <v>259</v>
      </c>
      <c r="D465" s="71" t="e">
        <f>SUM(#REF!-#REF!)</f>
        <v>#REF!</v>
      </c>
      <c r="E465" s="71"/>
      <c r="F465" s="71" t="e">
        <f>SUM(#REF!-#REF!)</f>
        <v>#REF!</v>
      </c>
      <c r="G465" s="71"/>
      <c r="H465" s="71"/>
      <c r="I465" s="72">
        <v>1</v>
      </c>
      <c r="J465" s="175"/>
    </row>
    <row r="466" spans="1:10" s="176" customFormat="1" hidden="1" x14ac:dyDescent="0.25">
      <c r="A466" s="68"/>
      <c r="B466" s="73" t="s">
        <v>260</v>
      </c>
      <c r="C466" s="74" t="s">
        <v>261</v>
      </c>
      <c r="D466" s="38" t="e">
        <f>SUM(#REF!-#REF!)</f>
        <v>#REF!</v>
      </c>
      <c r="E466" s="38"/>
      <c r="F466" s="38" t="e">
        <f>SUM(#REF!-#REF!)</f>
        <v>#REF!</v>
      </c>
      <c r="G466" s="38"/>
      <c r="H466" s="38"/>
      <c r="I466" s="75">
        <v>1</v>
      </c>
      <c r="J466" s="175"/>
    </row>
    <row r="467" spans="1:10" s="176" customFormat="1" hidden="1" x14ac:dyDescent="0.25">
      <c r="A467" s="68"/>
      <c r="B467" s="76"/>
      <c r="C467" s="74" t="s">
        <v>262</v>
      </c>
      <c r="D467" s="38" t="e">
        <f>SUM(#REF!-#REF!)</f>
        <v>#REF!</v>
      </c>
      <c r="E467" s="38"/>
      <c r="F467" s="38" t="e">
        <f>SUM(#REF!-#REF!)</f>
        <v>#REF!</v>
      </c>
      <c r="G467" s="38"/>
      <c r="H467" s="38"/>
      <c r="I467" s="75">
        <v>1</v>
      </c>
      <c r="J467" s="175"/>
    </row>
    <row r="468" spans="1:10" s="176" customFormat="1" ht="18" hidden="1" customHeight="1" x14ac:dyDescent="0.25">
      <c r="A468" s="68"/>
      <c r="B468" s="77"/>
      <c r="C468" s="78" t="s">
        <v>263</v>
      </c>
      <c r="D468" s="38" t="e">
        <f>SUM(#REF!-#REF!)</f>
        <v>#REF!</v>
      </c>
      <c r="E468" s="38"/>
      <c r="F468" s="38" t="e">
        <f>SUM(#REF!-#REF!)</f>
        <v>#REF!</v>
      </c>
      <c r="G468" s="38"/>
      <c r="H468" s="38"/>
      <c r="I468" s="72" t="e">
        <f>SUM(F468/#REF!)</f>
        <v>#REF!</v>
      </c>
      <c r="J468" s="175"/>
    </row>
    <row r="469" spans="1:10" s="175" customFormat="1" x14ac:dyDescent="0.25">
      <c r="A469" s="1"/>
      <c r="B469" s="79"/>
      <c r="C469" s="333"/>
      <c r="D469" s="80"/>
      <c r="E469" s="80"/>
      <c r="F469" s="80"/>
      <c r="G469" s="80"/>
      <c r="H469" s="80"/>
      <c r="I469" s="333"/>
    </row>
    <row r="470" spans="1:10" s="175" customFormat="1" x14ac:dyDescent="0.25">
      <c r="A470" s="1"/>
      <c r="B470" s="79"/>
      <c r="C470" s="333"/>
      <c r="D470" s="194"/>
      <c r="E470" s="194"/>
      <c r="F470" s="194"/>
      <c r="G470" s="194"/>
      <c r="H470" s="194"/>
    </row>
    <row r="471" spans="1:10" s="175" customFormat="1" x14ac:dyDescent="0.25">
      <c r="A471" s="287"/>
      <c r="B471" s="288"/>
      <c r="C471" s="333"/>
      <c r="G471" s="291" t="s">
        <v>693</v>
      </c>
      <c r="H471" s="194"/>
    </row>
    <row r="472" spans="1:10" s="175" customFormat="1" x14ac:dyDescent="0.25">
      <c r="A472" s="1"/>
      <c r="B472" s="79"/>
      <c r="C472" s="333"/>
      <c r="G472" s="291" t="s">
        <v>630</v>
      </c>
      <c r="H472" s="201"/>
    </row>
    <row r="473" spans="1:10" s="175" customFormat="1" x14ac:dyDescent="0.25">
      <c r="A473" s="1"/>
      <c r="B473" s="79"/>
      <c r="C473" s="333"/>
      <c r="G473" s="291"/>
      <c r="H473" s="195"/>
    </row>
    <row r="474" spans="1:10" s="175" customFormat="1" x14ac:dyDescent="0.25">
      <c r="A474" s="1"/>
      <c r="B474" s="79"/>
      <c r="C474" s="333"/>
      <c r="G474" s="291"/>
      <c r="H474" s="195"/>
    </row>
    <row r="475" spans="1:10" s="175" customFormat="1" x14ac:dyDescent="0.25">
      <c r="A475" s="1"/>
      <c r="B475" s="79"/>
      <c r="C475" s="333"/>
      <c r="G475" s="291"/>
      <c r="H475" s="195"/>
    </row>
    <row r="476" spans="1:10" s="175" customFormat="1" x14ac:dyDescent="0.25">
      <c r="A476" s="1"/>
      <c r="B476" s="79"/>
      <c r="C476" s="333"/>
      <c r="G476" s="292" t="s">
        <v>579</v>
      </c>
      <c r="H476" s="195"/>
    </row>
    <row r="477" spans="1:10" s="175" customFormat="1" x14ac:dyDescent="0.25">
      <c r="A477" s="1"/>
      <c r="B477" s="79"/>
      <c r="C477" s="333"/>
      <c r="G477" s="291" t="s">
        <v>577</v>
      </c>
      <c r="H477" s="201"/>
    </row>
    <row r="478" spans="1:10" x14ac:dyDescent="0.25">
      <c r="G478" s="291" t="s">
        <v>576</v>
      </c>
    </row>
  </sheetData>
  <mergeCells count="11">
    <mergeCell ref="I7:I8"/>
    <mergeCell ref="B2:C2"/>
    <mergeCell ref="B3:C3"/>
    <mergeCell ref="B4:C4"/>
    <mergeCell ref="B5:C5"/>
    <mergeCell ref="F6:H6"/>
    <mergeCell ref="A7:A8"/>
    <mergeCell ref="B7:B8"/>
    <mergeCell ref="C7:C8"/>
    <mergeCell ref="E7:G7"/>
    <mergeCell ref="H7:H8"/>
  </mergeCells>
  <pageMargins left="0.59" right="0.15748031496062992" top="1.27" bottom="0.47244094488188981" header="0.39370078740157483" footer="0.23622047244094491"/>
  <pageSetup paperSize="9" scale="5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M61"/>
  <sheetViews>
    <sheetView zoomScale="79" zoomScaleNormal="79" workbookViewId="0">
      <selection activeCell="I44" sqref="I44"/>
    </sheetView>
  </sheetViews>
  <sheetFormatPr defaultColWidth="9.28515625" defaultRowHeight="13.15" customHeight="1" x14ac:dyDescent="0.25"/>
  <cols>
    <col min="1" max="1" width="6.7109375" style="113" customWidth="1"/>
    <col min="2" max="2" width="16.140625" style="113" customWidth="1"/>
    <col min="3" max="3" width="56" style="81" customWidth="1"/>
    <col min="4" max="4" width="29.5703125" style="81" customWidth="1"/>
    <col min="5" max="5" width="29.140625" style="81" customWidth="1"/>
    <col min="6" max="6" width="28.42578125" style="81" customWidth="1"/>
    <col min="7" max="7" width="28.85546875" style="81" customWidth="1"/>
    <col min="8" max="8" width="12.85546875" style="81" bestFit="1" customWidth="1"/>
    <col min="9" max="9" width="28" style="271" bestFit="1" customWidth="1"/>
    <col min="10" max="10" width="33" style="271" customWidth="1"/>
    <col min="11" max="11" width="26.85546875" style="81" bestFit="1" customWidth="1"/>
    <col min="12" max="12" width="24.28515625" style="81" bestFit="1" customWidth="1"/>
    <col min="13" max="13" width="23.5703125" style="81" customWidth="1"/>
    <col min="14" max="30" width="9.28515625" style="81" customWidth="1"/>
    <col min="31" max="16384" width="9.28515625" style="81"/>
  </cols>
  <sheetData>
    <row r="2" spans="1:13" ht="17.25" customHeight="1" x14ac:dyDescent="0.25">
      <c r="B2" s="452" t="s">
        <v>0</v>
      </c>
      <c r="C2" s="452"/>
      <c r="D2" s="452"/>
      <c r="E2" s="5" t="s">
        <v>486</v>
      </c>
      <c r="F2" s="5"/>
      <c r="G2" s="175"/>
      <c r="H2" s="175"/>
    </row>
    <row r="3" spans="1:13" ht="17.25" customHeight="1" x14ac:dyDescent="0.25">
      <c r="B3" s="445" t="s">
        <v>480</v>
      </c>
      <c r="C3" s="445"/>
      <c r="D3" s="445"/>
      <c r="E3" s="5" t="s">
        <v>631</v>
      </c>
      <c r="F3" s="5"/>
      <c r="G3" s="175"/>
      <c r="H3" s="175"/>
    </row>
    <row r="4" spans="1:13" ht="23.25" customHeight="1" x14ac:dyDescent="0.25">
      <c r="B4" s="453" t="s">
        <v>481</v>
      </c>
      <c r="C4" s="453"/>
      <c r="D4" s="453"/>
      <c r="E4" s="6" t="s">
        <v>686</v>
      </c>
      <c r="F4" s="6"/>
      <c r="G4" s="175"/>
      <c r="H4" s="175"/>
    </row>
    <row r="5" spans="1:13" ht="23.25" customHeight="1" x14ac:dyDescent="0.25">
      <c r="B5" s="453"/>
      <c r="C5" s="453"/>
      <c r="D5" s="6"/>
      <c r="E5" s="6"/>
      <c r="F5" s="175"/>
      <c r="G5" s="175"/>
      <c r="H5" s="175"/>
    </row>
    <row r="6" spans="1:13" ht="21" customHeight="1" x14ac:dyDescent="0.25">
      <c r="B6" s="335"/>
      <c r="C6" s="335"/>
      <c r="D6" s="7"/>
      <c r="E6" s="7"/>
      <c r="F6" s="449"/>
      <c r="G6" s="449"/>
      <c r="H6" s="449"/>
    </row>
    <row r="7" spans="1:13" ht="21" customHeight="1" thickBot="1" x14ac:dyDescent="0.3">
      <c r="B7" s="335"/>
      <c r="C7" s="335"/>
      <c r="D7" s="7"/>
      <c r="E7" s="7"/>
      <c r="F7" s="449"/>
      <c r="G7" s="449"/>
      <c r="H7" s="449"/>
    </row>
    <row r="8" spans="1:13" s="83" customFormat="1" ht="23.25" customHeight="1" x14ac:dyDescent="0.25">
      <c r="A8" s="435" t="s">
        <v>2</v>
      </c>
      <c r="B8" s="437" t="s">
        <v>3</v>
      </c>
      <c r="C8" s="437" t="s">
        <v>4</v>
      </c>
      <c r="D8" s="202" t="s">
        <v>5</v>
      </c>
      <c r="E8" s="441" t="s">
        <v>475</v>
      </c>
      <c r="F8" s="441"/>
      <c r="G8" s="441"/>
      <c r="H8" s="454" t="s">
        <v>6</v>
      </c>
      <c r="I8" s="272"/>
      <c r="J8" s="272"/>
    </row>
    <row r="9" spans="1:13" s="83" customFormat="1" ht="23.25" customHeight="1" x14ac:dyDescent="0.25">
      <c r="A9" s="436"/>
      <c r="B9" s="438"/>
      <c r="C9" s="438"/>
      <c r="D9" s="203" t="s">
        <v>632</v>
      </c>
      <c r="E9" s="251" t="s">
        <v>476</v>
      </c>
      <c r="F9" s="251" t="s">
        <v>477</v>
      </c>
      <c r="G9" s="251" t="s">
        <v>478</v>
      </c>
      <c r="H9" s="455"/>
      <c r="I9" s="272"/>
      <c r="J9" s="272"/>
    </row>
    <row r="10" spans="1:13" ht="15.75" customHeight="1" x14ac:dyDescent="0.25">
      <c r="A10" s="11">
        <v>1</v>
      </c>
      <c r="B10" s="12">
        <v>2</v>
      </c>
      <c r="C10" s="13">
        <v>3</v>
      </c>
      <c r="D10" s="14">
        <v>4</v>
      </c>
      <c r="E10" s="14">
        <v>5</v>
      </c>
      <c r="F10" s="14">
        <v>6</v>
      </c>
      <c r="G10" s="15" t="s">
        <v>582</v>
      </c>
      <c r="H10" s="235" t="s">
        <v>583</v>
      </c>
    </row>
    <row r="11" spans="1:13" ht="20.25" customHeight="1" x14ac:dyDescent="0.25">
      <c r="A11" s="318"/>
      <c r="B11" s="199" t="s">
        <v>473</v>
      </c>
      <c r="C11" s="200" t="s">
        <v>9</v>
      </c>
      <c r="D11" s="275">
        <f>D35</f>
        <v>1277356744453.6699</v>
      </c>
      <c r="E11" s="275">
        <f t="shared" ref="E11:G11" si="0">E35</f>
        <v>640419657794.95996</v>
      </c>
      <c r="F11" s="275">
        <f t="shared" si="0"/>
        <v>134113463532.98999</v>
      </c>
      <c r="G11" s="275">
        <f t="shared" si="0"/>
        <v>774533121327.94995</v>
      </c>
      <c r="H11" s="276">
        <f>G11/D11</f>
        <v>0.60635615280617672</v>
      </c>
      <c r="I11" s="329"/>
      <c r="J11" s="329"/>
      <c r="K11" s="329"/>
      <c r="L11" s="271"/>
    </row>
    <row r="12" spans="1:13" ht="20.25" customHeight="1" x14ac:dyDescent="0.25">
      <c r="A12" s="149" t="s">
        <v>426</v>
      </c>
      <c r="B12" s="150" t="s">
        <v>11</v>
      </c>
      <c r="C12" s="151" t="s">
        <v>443</v>
      </c>
      <c r="D12" s="152">
        <f>SUM(D13+D14+D18+D19)</f>
        <v>392981073389.67004</v>
      </c>
      <c r="E12" s="152">
        <f t="shared" ref="E12:G12" si="1">SUM(E13+E14+E18+E19)</f>
        <v>244242932963.96002</v>
      </c>
      <c r="F12" s="152">
        <f t="shared" si="1"/>
        <v>63177195506.989998</v>
      </c>
      <c r="G12" s="152">
        <f t="shared" si="1"/>
        <v>307420128470.95001</v>
      </c>
      <c r="H12" s="243">
        <f>G12/D12</f>
        <v>0.78227718658124801</v>
      </c>
      <c r="I12" s="329"/>
      <c r="J12" s="329"/>
      <c r="K12" s="329"/>
    </row>
    <row r="13" spans="1:13" ht="20.25" customHeight="1" x14ac:dyDescent="0.25">
      <c r="A13" s="319" t="s">
        <v>19</v>
      </c>
      <c r="B13" s="256" t="s">
        <v>345</v>
      </c>
      <c r="C13" s="265" t="s">
        <v>264</v>
      </c>
      <c r="D13" s="258">
        <v>197002700000</v>
      </c>
      <c r="E13" s="258">
        <f>'Rkp Juni'!G13</f>
        <v>116486499765.36</v>
      </c>
      <c r="F13" s="258">
        <f>'Realisasi Juli'!F13</f>
        <v>49936389001</v>
      </c>
      <c r="G13" s="258">
        <f>E13+F13</f>
        <v>166422888766.35999</v>
      </c>
      <c r="H13" s="259">
        <f t="shared" ref="H13:H34" si="2">G13/D13</f>
        <v>0.84477465926284256</v>
      </c>
      <c r="I13" s="329"/>
      <c r="J13" s="295"/>
      <c r="K13" s="349"/>
      <c r="M13" s="90"/>
    </row>
    <row r="14" spans="1:13" ht="20.25" customHeight="1" x14ac:dyDescent="0.25">
      <c r="A14" s="320" t="s">
        <v>39</v>
      </c>
      <c r="B14" s="266" t="s">
        <v>346</v>
      </c>
      <c r="C14" s="267" t="s">
        <v>265</v>
      </c>
      <c r="D14" s="268">
        <f>SUM(D15:D17)</f>
        <v>47985440000</v>
      </c>
      <c r="E14" s="258">
        <f>'Rkp Juni'!G14</f>
        <v>12850767339.17</v>
      </c>
      <c r="F14" s="268">
        <f t="shared" ref="F14:G14" si="3">SUM(F15:F17)</f>
        <v>2556002344</v>
      </c>
      <c r="G14" s="268">
        <f t="shared" si="3"/>
        <v>15406769683.17</v>
      </c>
      <c r="H14" s="269">
        <f t="shared" si="2"/>
        <v>0.32107176016662553</v>
      </c>
      <c r="I14" s="329"/>
      <c r="J14" s="329"/>
      <c r="K14" s="349"/>
      <c r="M14" s="90"/>
    </row>
    <row r="15" spans="1:13" ht="20.25" customHeight="1" x14ac:dyDescent="0.25">
      <c r="A15" s="321"/>
      <c r="B15" s="86" t="s">
        <v>288</v>
      </c>
      <c r="C15" s="87" t="s">
        <v>55</v>
      </c>
      <c r="D15" s="88">
        <v>4579475000</v>
      </c>
      <c r="E15" s="173">
        <f>'Rkp Juni'!G15</f>
        <v>968609250</v>
      </c>
      <c r="F15" s="88">
        <f>'Realisasi Juli'!F30+'Realisasi Juli'!F55+'Realisasi Juli'!F60+'Realisasi Juli'!F94</f>
        <v>155170500</v>
      </c>
      <c r="G15" s="88">
        <f>E15+F15</f>
        <v>1123779750</v>
      </c>
      <c r="H15" s="245">
        <f t="shared" si="2"/>
        <v>0.24539488696848438</v>
      </c>
      <c r="I15" s="329"/>
      <c r="J15" s="329"/>
      <c r="K15" s="349"/>
      <c r="M15" s="90"/>
    </row>
    <row r="16" spans="1:13" ht="20.25" customHeight="1" x14ac:dyDescent="0.25">
      <c r="A16" s="321"/>
      <c r="B16" s="86" t="s">
        <v>285</v>
      </c>
      <c r="C16" s="87" t="s">
        <v>444</v>
      </c>
      <c r="D16" s="88">
        <v>28403965000</v>
      </c>
      <c r="E16" s="173">
        <f>'Rkp Juni'!G16</f>
        <v>10536933250</v>
      </c>
      <c r="F16" s="88">
        <f>'Realisasi Juli'!F41+'Realisasi Juli'!F50+'Realisasi Juli'!F65+'Realisasi Juli'!F77+'Realisasi Juli'!F89</f>
        <v>2187982000</v>
      </c>
      <c r="G16" s="88">
        <f t="shared" ref="G16:G19" si="4">E16+F16</f>
        <v>12724915250</v>
      </c>
      <c r="H16" s="245">
        <f t="shared" si="2"/>
        <v>0.44799784994806185</v>
      </c>
      <c r="I16" s="329"/>
      <c r="J16" s="329"/>
      <c r="K16" s="349"/>
      <c r="M16" s="90"/>
    </row>
    <row r="17" spans="1:13" ht="20.25" customHeight="1" x14ac:dyDescent="0.25">
      <c r="A17" s="321"/>
      <c r="B17" s="86" t="s">
        <v>298</v>
      </c>
      <c r="C17" s="87" t="s">
        <v>60</v>
      </c>
      <c r="D17" s="88">
        <v>15002000000</v>
      </c>
      <c r="E17" s="173">
        <f>'Rkp Juni'!G17</f>
        <v>1345224839.1700001</v>
      </c>
      <c r="F17" s="88">
        <f>'Realisasi Juli'!F47+'Realisasi Juli'!F72+'Realisasi Juli'!F82</f>
        <v>212849844</v>
      </c>
      <c r="G17" s="88">
        <f t="shared" si="4"/>
        <v>1558074683.1700001</v>
      </c>
      <c r="H17" s="245">
        <f t="shared" si="2"/>
        <v>0.10385779783828823</v>
      </c>
      <c r="I17" s="329"/>
      <c r="J17" s="329"/>
      <c r="K17" s="349"/>
      <c r="M17" s="90"/>
    </row>
    <row r="18" spans="1:13" ht="31.5" customHeight="1" x14ac:dyDescent="0.25">
      <c r="A18" s="320" t="s">
        <v>46</v>
      </c>
      <c r="B18" s="256" t="s">
        <v>347</v>
      </c>
      <c r="C18" s="257" t="s">
        <v>266</v>
      </c>
      <c r="D18" s="258">
        <v>1663748323.6700001</v>
      </c>
      <c r="E18" s="258">
        <f>'Rkp Juni'!G18</f>
        <v>1079761191</v>
      </c>
      <c r="F18" s="258">
        <f>'Realisasi Juli'!F98</f>
        <v>0</v>
      </c>
      <c r="G18" s="260">
        <f t="shared" si="4"/>
        <v>1079761191</v>
      </c>
      <c r="H18" s="259">
        <f t="shared" si="2"/>
        <v>0.64899310529022514</v>
      </c>
      <c r="I18" s="273"/>
      <c r="M18" s="90"/>
    </row>
    <row r="19" spans="1:13" ht="20.25" customHeight="1" x14ac:dyDescent="0.25">
      <c r="A19" s="322" t="s">
        <v>8</v>
      </c>
      <c r="B19" s="266" t="s">
        <v>348</v>
      </c>
      <c r="C19" s="267" t="s">
        <v>96</v>
      </c>
      <c r="D19" s="268">
        <v>146329185066</v>
      </c>
      <c r="E19" s="258">
        <f>'Rkp Juni'!G19</f>
        <v>113825904668.43001</v>
      </c>
      <c r="F19" s="268">
        <f>'Realisasi Juli'!F104</f>
        <v>10684804161.99</v>
      </c>
      <c r="G19" s="260">
        <f t="shared" si="4"/>
        <v>124510708830.42001</v>
      </c>
      <c r="H19" s="269">
        <f t="shared" si="2"/>
        <v>0.85089456880567582</v>
      </c>
      <c r="M19" s="90"/>
    </row>
    <row r="20" spans="1:13" ht="20.25" customHeight="1" x14ac:dyDescent="0.25">
      <c r="A20" s="149" t="s">
        <v>163</v>
      </c>
      <c r="B20" s="150" t="s">
        <v>164</v>
      </c>
      <c r="C20" s="151" t="s">
        <v>268</v>
      </c>
      <c r="D20" s="155">
        <f>SUM(D21+D27)</f>
        <v>884375671064</v>
      </c>
      <c r="E20" s="155">
        <f t="shared" ref="E20:G20" si="5">SUM(E21+E27)</f>
        <v>396176724831</v>
      </c>
      <c r="F20" s="155">
        <f t="shared" si="5"/>
        <v>70936268026</v>
      </c>
      <c r="G20" s="155">
        <f t="shared" si="5"/>
        <v>467112992857</v>
      </c>
      <c r="H20" s="243">
        <f t="shared" si="2"/>
        <v>0.52818390209107891</v>
      </c>
      <c r="K20" s="271"/>
    </row>
    <row r="21" spans="1:13" ht="20.25" customHeight="1" x14ac:dyDescent="0.25">
      <c r="A21" s="156" t="s">
        <v>416</v>
      </c>
      <c r="B21" s="157" t="s">
        <v>350</v>
      </c>
      <c r="C21" s="158" t="s">
        <v>351</v>
      </c>
      <c r="D21" s="159">
        <f>SUM(D22)</f>
        <v>768680341983</v>
      </c>
      <c r="E21" s="159">
        <f t="shared" ref="E21:G21" si="6">SUM(E22)</f>
        <v>358571994308</v>
      </c>
      <c r="F21" s="159">
        <f t="shared" si="6"/>
        <v>44113113882</v>
      </c>
      <c r="G21" s="159">
        <f t="shared" si="6"/>
        <v>402685108190</v>
      </c>
      <c r="H21" s="246">
        <f t="shared" si="2"/>
        <v>0.5238654954427151</v>
      </c>
    </row>
    <row r="22" spans="1:13" ht="20.25" customHeight="1" x14ac:dyDescent="0.25">
      <c r="A22" s="160" t="s">
        <v>89</v>
      </c>
      <c r="B22" s="161" t="s">
        <v>352</v>
      </c>
      <c r="C22" s="162" t="s">
        <v>435</v>
      </c>
      <c r="D22" s="163">
        <f>SUM(D23:D26)</f>
        <v>768680341983</v>
      </c>
      <c r="E22" s="163">
        <f t="shared" ref="E22:G22" si="7">SUM(E23:E26)</f>
        <v>358571994308</v>
      </c>
      <c r="F22" s="163">
        <f>SUM(F23:F26)</f>
        <v>44113113882</v>
      </c>
      <c r="G22" s="163">
        <f t="shared" si="7"/>
        <v>402685108190</v>
      </c>
      <c r="H22" s="247">
        <f t="shared" si="2"/>
        <v>0.5238654954427151</v>
      </c>
    </row>
    <row r="23" spans="1:13" ht="20.25" customHeight="1" x14ac:dyDescent="0.25">
      <c r="A23" s="323" t="s">
        <v>13</v>
      </c>
      <c r="B23" s="147" t="s">
        <v>353</v>
      </c>
      <c r="C23" s="148" t="s">
        <v>354</v>
      </c>
      <c r="D23" s="173">
        <v>154499794000</v>
      </c>
      <c r="E23" s="173">
        <f>'Rkp Juni'!G23</f>
        <v>64990433740</v>
      </c>
      <c r="F23" s="173">
        <f>'Realisasi Juli'!F231</f>
        <v>0</v>
      </c>
      <c r="G23" s="173">
        <f>E23+F23</f>
        <v>64990433740</v>
      </c>
      <c r="H23" s="244">
        <f t="shared" si="2"/>
        <v>0.42065061743706922</v>
      </c>
      <c r="K23" s="271"/>
    </row>
    <row r="24" spans="1:13" ht="20.25" customHeight="1" x14ac:dyDescent="0.25">
      <c r="A24" s="85" t="s">
        <v>16</v>
      </c>
      <c r="B24" s="86" t="s">
        <v>368</v>
      </c>
      <c r="C24" s="87" t="s">
        <v>436</v>
      </c>
      <c r="D24" s="88">
        <v>429554051000</v>
      </c>
      <c r="E24" s="173">
        <f>'Rkp Juni'!G24</f>
        <v>248761396138</v>
      </c>
      <c r="F24" s="88">
        <f>'Realisasi Juli'!F298</f>
        <v>35796170000</v>
      </c>
      <c r="G24" s="173">
        <f t="shared" ref="G24:G26" si="8">E24+F24</f>
        <v>284557566138</v>
      </c>
      <c r="H24" s="248">
        <f t="shared" si="2"/>
        <v>0.66244880120569505</v>
      </c>
    </row>
    <row r="25" spans="1:13" ht="20.25" customHeight="1" x14ac:dyDescent="0.25">
      <c r="A25" s="85" t="s">
        <v>86</v>
      </c>
      <c r="B25" s="86" t="s">
        <v>370</v>
      </c>
      <c r="C25" s="87" t="s">
        <v>437</v>
      </c>
      <c r="D25" s="88">
        <f>'Realisasi Juli'!D300</f>
        <v>62721068973</v>
      </c>
      <c r="E25" s="173">
        <f>'Rkp Juni'!G25</f>
        <v>11232378363</v>
      </c>
      <c r="F25" s="88">
        <f>'Realisasi Juli'!F300</f>
        <v>8316943882</v>
      </c>
      <c r="G25" s="173">
        <f>E25+F25</f>
        <v>19549322245</v>
      </c>
      <c r="H25" s="248">
        <f t="shared" si="2"/>
        <v>0.31168668782439823</v>
      </c>
    </row>
    <row r="26" spans="1:13" ht="20.25" customHeight="1" x14ac:dyDescent="0.25">
      <c r="A26" s="91" t="s">
        <v>95</v>
      </c>
      <c r="B26" s="153" t="s">
        <v>384</v>
      </c>
      <c r="C26" s="154" t="s">
        <v>438</v>
      </c>
      <c r="D26" s="174">
        <v>121905428010</v>
      </c>
      <c r="E26" s="173">
        <f>'Rkp Juni'!G26</f>
        <v>33587786067</v>
      </c>
      <c r="F26" s="174">
        <f>'Realisasi Juli'!F370</f>
        <v>0</v>
      </c>
      <c r="G26" s="173">
        <f t="shared" si="8"/>
        <v>33587786067</v>
      </c>
      <c r="H26" s="245">
        <f t="shared" si="2"/>
        <v>0.27552330208171505</v>
      </c>
    </row>
    <row r="27" spans="1:13" ht="20.25" customHeight="1" x14ac:dyDescent="0.25">
      <c r="A27" s="156" t="s">
        <v>440</v>
      </c>
      <c r="B27" s="157" t="s">
        <v>398</v>
      </c>
      <c r="C27" s="158" t="s">
        <v>399</v>
      </c>
      <c r="D27" s="159">
        <f>SUM(D28:D29)</f>
        <v>115695329081</v>
      </c>
      <c r="E27" s="159">
        <f t="shared" ref="E27:F27" si="9">SUM(E28:E29)</f>
        <v>37604730523</v>
      </c>
      <c r="F27" s="159">
        <f t="shared" si="9"/>
        <v>26823154144</v>
      </c>
      <c r="G27" s="159">
        <f>E27+F27</f>
        <v>64427884667</v>
      </c>
      <c r="H27" s="246">
        <f t="shared" si="2"/>
        <v>0.55687541734630519</v>
      </c>
    </row>
    <row r="28" spans="1:13" ht="20.25" customHeight="1" x14ac:dyDescent="0.25">
      <c r="A28" s="323" t="s">
        <v>89</v>
      </c>
      <c r="B28" s="147" t="s">
        <v>400</v>
      </c>
      <c r="C28" s="148" t="s">
        <v>403</v>
      </c>
      <c r="D28" s="173">
        <v>105229329081</v>
      </c>
      <c r="E28" s="173">
        <f>'Rkp Juni'!G28</f>
        <v>34520730523</v>
      </c>
      <c r="F28" s="173">
        <f>'Realisasi Juli'!F416</f>
        <v>26823154144</v>
      </c>
      <c r="G28" s="173">
        <f>E28+F28</f>
        <v>61343884667</v>
      </c>
      <c r="H28" s="244">
        <f t="shared" si="2"/>
        <v>0.58295425051869998</v>
      </c>
    </row>
    <row r="29" spans="1:13" ht="20.25" customHeight="1" x14ac:dyDescent="0.25">
      <c r="A29" s="91" t="s">
        <v>91</v>
      </c>
      <c r="B29" s="153" t="s">
        <v>425</v>
      </c>
      <c r="C29" s="154" t="s">
        <v>427</v>
      </c>
      <c r="D29" s="174">
        <v>10466000000</v>
      </c>
      <c r="E29" s="173">
        <f>'Rkp Juni'!G29</f>
        <v>3084000000</v>
      </c>
      <c r="F29" s="174">
        <f>'Realisasi Juli'!F429</f>
        <v>0</v>
      </c>
      <c r="G29" s="173">
        <f>E29+F29</f>
        <v>3084000000</v>
      </c>
      <c r="H29" s="244">
        <f t="shared" si="2"/>
        <v>0.29466845021975924</v>
      </c>
    </row>
    <row r="30" spans="1:13" ht="20.25" customHeight="1" x14ac:dyDescent="0.25">
      <c r="A30" s="149" t="s">
        <v>241</v>
      </c>
      <c r="B30" s="150" t="s">
        <v>242</v>
      </c>
      <c r="C30" s="151" t="s">
        <v>243</v>
      </c>
      <c r="D30" s="155">
        <f t="shared" ref="D30:G32" si="10">D31</f>
        <v>0</v>
      </c>
      <c r="E30" s="155">
        <f t="shared" si="10"/>
        <v>0</v>
      </c>
      <c r="F30" s="155">
        <f t="shared" si="10"/>
        <v>0</v>
      </c>
      <c r="G30" s="155">
        <f t="shared" si="10"/>
        <v>0</v>
      </c>
      <c r="H30" s="243" t="e">
        <f t="shared" si="2"/>
        <v>#DIV/0!</v>
      </c>
    </row>
    <row r="31" spans="1:13" ht="34.5" customHeight="1" x14ac:dyDescent="0.25">
      <c r="A31" s="84"/>
      <c r="B31" s="147" t="s">
        <v>418</v>
      </c>
      <c r="C31" s="250" t="s">
        <v>441</v>
      </c>
      <c r="D31" s="258">
        <f>D32</f>
        <v>0</v>
      </c>
      <c r="E31" s="173"/>
      <c r="F31" s="173">
        <f>F32</f>
        <v>0</v>
      </c>
      <c r="G31" s="173">
        <f>E31+F31</f>
        <v>0</v>
      </c>
      <c r="H31" s="259" t="e">
        <f t="shared" si="2"/>
        <v>#DIV/0!</v>
      </c>
    </row>
    <row r="32" spans="1:13" ht="20.25" customHeight="1" x14ac:dyDescent="0.25">
      <c r="A32" s="85"/>
      <c r="B32" s="86" t="s">
        <v>420</v>
      </c>
      <c r="C32" s="87" t="s">
        <v>442</v>
      </c>
      <c r="D32" s="260">
        <f t="shared" si="10"/>
        <v>0</v>
      </c>
      <c r="E32" s="173"/>
      <c r="F32" s="88">
        <f t="shared" si="10"/>
        <v>0</v>
      </c>
      <c r="G32" s="173">
        <f t="shared" ref="G32" si="11">E32+F32</f>
        <v>0</v>
      </c>
      <c r="H32" s="261" t="e">
        <f t="shared" si="2"/>
        <v>#DIV/0!</v>
      </c>
    </row>
    <row r="33" spans="1:10" ht="20.25" customHeight="1" x14ac:dyDescent="0.25">
      <c r="A33" s="91" t="s">
        <v>89</v>
      </c>
      <c r="B33" s="86" t="s">
        <v>422</v>
      </c>
      <c r="C33" s="87" t="s">
        <v>423</v>
      </c>
      <c r="D33" s="164">
        <v>0</v>
      </c>
      <c r="E33" s="173">
        <f>'Rkp April'!G34</f>
        <v>0</v>
      </c>
      <c r="F33" s="174">
        <f>'Realisasi Januari'!F439</f>
        <v>0</v>
      </c>
      <c r="G33" s="173">
        <f>F33</f>
        <v>0</v>
      </c>
      <c r="H33" s="248" t="e">
        <f t="shared" si="2"/>
        <v>#DIV/0!</v>
      </c>
    </row>
    <row r="34" spans="1:10" ht="20.25" customHeight="1" thickBot="1" x14ac:dyDescent="0.3">
      <c r="A34" s="91" t="s">
        <v>91</v>
      </c>
      <c r="B34" s="86" t="s">
        <v>618</v>
      </c>
      <c r="C34" s="87" t="s">
        <v>620</v>
      </c>
      <c r="D34" s="164">
        <v>0</v>
      </c>
      <c r="E34" s="173">
        <f>'Rkp April'!G35</f>
        <v>0</v>
      </c>
      <c r="F34" s="174"/>
      <c r="G34" s="173">
        <f>F34</f>
        <v>0</v>
      </c>
      <c r="H34" s="286" t="e">
        <f t="shared" si="2"/>
        <v>#DIV/0!</v>
      </c>
    </row>
    <row r="35" spans="1:10" s="82" customFormat="1" ht="21.75" customHeight="1" thickBot="1" x14ac:dyDescent="0.3">
      <c r="A35" s="143"/>
      <c r="B35" s="144"/>
      <c r="C35" s="145" t="s">
        <v>472</v>
      </c>
      <c r="D35" s="146">
        <f>SUM(D12+D20+D30)</f>
        <v>1277356744453.6699</v>
      </c>
      <c r="E35" s="146">
        <f>SUM(E12+E20+E30)</f>
        <v>640419657794.95996</v>
      </c>
      <c r="F35" s="146">
        <f>SUM(F12+F20+F30)</f>
        <v>134113463532.98999</v>
      </c>
      <c r="G35" s="146">
        <f>SUM(G12+G20+G30)</f>
        <v>774533121327.94995</v>
      </c>
      <c r="H35" s="249">
        <f>G35/D35</f>
        <v>0.60635615280617672</v>
      </c>
      <c r="I35" s="274"/>
      <c r="J35" s="274"/>
    </row>
    <row r="36" spans="1:10" ht="20.25" hidden="1" customHeight="1" x14ac:dyDescent="0.25">
      <c r="A36" s="92" t="s">
        <v>95</v>
      </c>
      <c r="B36" s="93" t="s">
        <v>46</v>
      </c>
      <c r="C36" s="94" t="s">
        <v>251</v>
      </c>
      <c r="D36" s="95">
        <v>102132456348.7</v>
      </c>
      <c r="E36" s="173"/>
      <c r="F36" s="88" t="e">
        <f>D36-#REF!</f>
        <v>#REF!</v>
      </c>
      <c r="G36" s="173"/>
      <c r="H36" s="96" t="e">
        <f>SUM(F36/#REF!)</f>
        <v>#REF!</v>
      </c>
    </row>
    <row r="37" spans="1:10" ht="20.25" hidden="1" customHeight="1" x14ac:dyDescent="0.25">
      <c r="A37" s="85"/>
      <c r="B37" s="97" t="s">
        <v>252</v>
      </c>
      <c r="C37" s="98" t="s">
        <v>253</v>
      </c>
      <c r="D37" s="88">
        <v>102132456348.7</v>
      </c>
      <c r="E37" s="88"/>
      <c r="F37" s="88" t="e">
        <f>D37-#REF!</f>
        <v>#REF!</v>
      </c>
      <c r="G37" s="88"/>
      <c r="H37" s="89" t="e">
        <f>SUM(F37/#REF!)</f>
        <v>#REF!</v>
      </c>
    </row>
    <row r="38" spans="1:10" ht="20.25" hidden="1" customHeight="1" x14ac:dyDescent="0.25">
      <c r="A38" s="85"/>
      <c r="B38" s="99" t="s">
        <v>254</v>
      </c>
      <c r="C38" s="100" t="s">
        <v>255</v>
      </c>
      <c r="D38" s="88">
        <v>95076456348.699997</v>
      </c>
      <c r="E38" s="88"/>
      <c r="F38" s="88" t="e">
        <f>D38-#REF!</f>
        <v>#REF!</v>
      </c>
      <c r="G38" s="88"/>
      <c r="H38" s="89" t="e">
        <f>SUM(F38/#REF!)</f>
        <v>#REF!</v>
      </c>
    </row>
    <row r="39" spans="1:10" ht="20.25" hidden="1" customHeight="1" x14ac:dyDescent="0.25">
      <c r="A39" s="85"/>
      <c r="B39" s="99" t="s">
        <v>256</v>
      </c>
      <c r="C39" s="100" t="s">
        <v>257</v>
      </c>
      <c r="D39" s="88">
        <v>7056000000</v>
      </c>
      <c r="E39" s="88"/>
      <c r="F39" s="88" t="e">
        <f>D39-#REF!</f>
        <v>#REF!</v>
      </c>
      <c r="G39" s="88"/>
      <c r="H39" s="89">
        <v>1</v>
      </c>
    </row>
    <row r="40" spans="1:10" ht="20.25" hidden="1" customHeight="1" x14ac:dyDescent="0.25">
      <c r="A40" s="101"/>
      <c r="B40" s="102" t="s">
        <v>258</v>
      </c>
      <c r="C40" s="103" t="s">
        <v>259</v>
      </c>
      <c r="D40" s="104">
        <v>7056000000</v>
      </c>
      <c r="E40" s="174"/>
      <c r="F40" s="88" t="e">
        <f>D40-#REF!</f>
        <v>#REF!</v>
      </c>
      <c r="G40" s="174"/>
      <c r="H40" s="105">
        <v>1</v>
      </c>
    </row>
    <row r="41" spans="1:10" ht="26.25" hidden="1" customHeight="1" x14ac:dyDescent="0.25">
      <c r="A41" s="450" t="s">
        <v>263</v>
      </c>
      <c r="B41" s="451"/>
      <c r="C41" s="451"/>
      <c r="D41" s="106">
        <f>SUM(D36+D35)</f>
        <v>1379489200802.3699</v>
      </c>
      <c r="E41" s="106"/>
      <c r="F41" s="106" t="e">
        <f>SUM(F36+F35)</f>
        <v>#REF!</v>
      </c>
      <c r="G41" s="106"/>
      <c r="H41" s="107" t="e">
        <f>SUM(F41/#REF!)</f>
        <v>#REF!</v>
      </c>
    </row>
    <row r="42" spans="1:10" ht="26.25" customHeight="1" x14ac:dyDescent="0.25">
      <c r="A42" s="108"/>
      <c r="B42" s="198"/>
      <c r="C42" s="197"/>
      <c r="D42" s="110"/>
      <c r="E42" s="110"/>
      <c r="F42" s="110"/>
      <c r="G42" s="110"/>
      <c r="H42" s="111"/>
    </row>
    <row r="43" spans="1:10" ht="21" customHeight="1" x14ac:dyDescent="0.25">
      <c r="A43" s="342"/>
      <c r="B43" s="335"/>
      <c r="C43" s="109"/>
      <c r="D43" s="112"/>
      <c r="E43" s="112"/>
      <c r="F43" s="291"/>
      <c r="G43" s="291" t="s">
        <v>693</v>
      </c>
      <c r="H43" s="113"/>
    </row>
    <row r="44" spans="1:10" ht="18" x14ac:dyDescent="0.25">
      <c r="A44" s="342"/>
      <c r="B44" s="335"/>
      <c r="C44" s="109"/>
      <c r="D44" s="114"/>
      <c r="E44" s="114"/>
      <c r="F44" s="291"/>
      <c r="G44" s="291" t="s">
        <v>630</v>
      </c>
      <c r="H44" s="255"/>
    </row>
    <row r="45" spans="1:10" ht="21" customHeight="1" x14ac:dyDescent="0.25">
      <c r="B45" s="335"/>
      <c r="C45" s="109"/>
      <c r="D45" s="114"/>
      <c r="E45" s="114"/>
      <c r="F45" s="291"/>
      <c r="G45" s="291"/>
      <c r="H45" s="255"/>
    </row>
    <row r="46" spans="1:10" ht="15.75" customHeight="1" x14ac:dyDescent="0.25">
      <c r="B46" s="335"/>
      <c r="C46" s="109"/>
      <c r="D46" s="116"/>
      <c r="E46" s="116"/>
      <c r="F46" s="291"/>
      <c r="G46" s="291"/>
      <c r="H46" s="117"/>
    </row>
    <row r="47" spans="1:10" ht="15.75" customHeight="1" x14ac:dyDescent="0.25">
      <c r="B47" s="335"/>
      <c r="C47" s="109"/>
      <c r="D47" s="116"/>
      <c r="E47" s="116"/>
      <c r="F47" s="291"/>
      <c r="G47" s="291"/>
      <c r="H47" s="117"/>
    </row>
    <row r="48" spans="1:10" ht="15.75" customHeight="1" x14ac:dyDescent="0.25">
      <c r="B48" s="335"/>
      <c r="C48" s="109" t="s">
        <v>267</v>
      </c>
      <c r="D48" s="116"/>
      <c r="E48" s="116"/>
      <c r="F48" s="292"/>
      <c r="G48" s="292" t="s">
        <v>579</v>
      </c>
      <c r="H48" s="117"/>
    </row>
    <row r="49" spans="2:8" ht="15.75" customHeight="1" x14ac:dyDescent="0.25">
      <c r="B49" s="335"/>
      <c r="C49" s="109"/>
      <c r="D49" s="116"/>
      <c r="E49" s="116"/>
      <c r="F49" s="291"/>
      <c r="G49" s="291" t="s">
        <v>577</v>
      </c>
      <c r="H49" s="117"/>
    </row>
    <row r="50" spans="2:8" ht="22.5" customHeight="1" x14ac:dyDescent="0.25">
      <c r="C50" s="118"/>
      <c r="D50" s="119"/>
      <c r="E50" s="119"/>
      <c r="F50" s="291"/>
      <c r="G50" s="291" t="s">
        <v>576</v>
      </c>
      <c r="H50" s="120"/>
    </row>
    <row r="51" spans="2:8" ht="20.25" customHeight="1" x14ac:dyDescent="0.25">
      <c r="C51" s="118"/>
      <c r="D51" s="112"/>
      <c r="E51" s="112"/>
      <c r="F51" s="115"/>
      <c r="G51" s="115"/>
      <c r="H51" s="113"/>
    </row>
    <row r="52" spans="2:8" ht="13.15" customHeight="1" x14ac:dyDescent="0.25">
      <c r="C52" s="118"/>
      <c r="D52" s="112"/>
      <c r="E52" s="112"/>
      <c r="H52" s="113"/>
    </row>
    <row r="53" spans="2:8" ht="13.15" customHeight="1" x14ac:dyDescent="0.25">
      <c r="C53" s="118"/>
      <c r="D53" s="112"/>
      <c r="E53" s="112"/>
      <c r="F53" s="113"/>
      <c r="G53" s="113"/>
      <c r="H53" s="113"/>
    </row>
    <row r="54" spans="2:8" ht="13.15" customHeight="1" x14ac:dyDescent="0.25">
      <c r="C54" s="118"/>
      <c r="D54" s="112"/>
      <c r="E54" s="112"/>
      <c r="F54" s="113"/>
      <c r="G54" s="113"/>
      <c r="H54" s="113"/>
    </row>
    <row r="55" spans="2:8" ht="13.15" customHeight="1" x14ac:dyDescent="0.25">
      <c r="C55" s="118"/>
      <c r="D55" s="118"/>
      <c r="E55" s="118"/>
    </row>
    <row r="56" spans="2:8" ht="13.15" customHeight="1" x14ac:dyDescent="0.25">
      <c r="C56" s="118"/>
      <c r="D56" s="118"/>
      <c r="E56" s="118"/>
    </row>
    <row r="57" spans="2:8" ht="13.15" customHeight="1" x14ac:dyDescent="0.25">
      <c r="C57" s="118"/>
      <c r="D57" s="118"/>
      <c r="E57" s="118"/>
    </row>
    <row r="58" spans="2:8" ht="13.15" customHeight="1" x14ac:dyDescent="0.25">
      <c r="C58" s="118"/>
      <c r="D58" s="118"/>
      <c r="E58" s="118"/>
    </row>
    <row r="59" spans="2:8" ht="13.15" customHeight="1" x14ac:dyDescent="0.25">
      <c r="C59" s="118"/>
      <c r="D59" s="118"/>
      <c r="E59" s="118"/>
    </row>
    <row r="60" spans="2:8" ht="13.15" customHeight="1" x14ac:dyDescent="0.25">
      <c r="C60" s="118"/>
      <c r="D60" s="118"/>
      <c r="E60" s="118"/>
    </row>
    <row r="61" spans="2:8" ht="13.15" customHeight="1" x14ac:dyDescent="0.25">
      <c r="C61" s="118"/>
      <c r="D61" s="118"/>
      <c r="E61" s="118"/>
    </row>
  </sheetData>
  <mergeCells count="12">
    <mergeCell ref="F6:H6"/>
    <mergeCell ref="F7:H7"/>
    <mergeCell ref="A41:C41"/>
    <mergeCell ref="B2:D2"/>
    <mergeCell ref="B3:D3"/>
    <mergeCell ref="B4:D4"/>
    <mergeCell ref="B5:C5"/>
    <mergeCell ref="A8:A9"/>
    <mergeCell ref="B8:B9"/>
    <mergeCell ref="C8:C9"/>
    <mergeCell ref="E8:G8"/>
    <mergeCell ref="H8:H9"/>
  </mergeCells>
  <printOptions horizontalCentered="1"/>
  <pageMargins left="0.6692913385826772" right="1.0236220472440944" top="0.54" bottom="0.27559055118110237" header="0.23622047244094491" footer="0.33"/>
  <pageSetup paperSize="9" scale="6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488"/>
  <sheetViews>
    <sheetView zoomScale="68" zoomScaleNormal="68" workbookViewId="0">
      <pane ySplit="9" topLeftCell="A124" activePane="bottomLeft" state="frozen"/>
      <selection activeCell="I30" sqref="I30"/>
      <selection pane="bottomLeft" activeCell="N138" sqref="N138"/>
    </sheetView>
  </sheetViews>
  <sheetFormatPr defaultColWidth="9.28515625" defaultRowHeight="18" x14ac:dyDescent="0.25"/>
  <cols>
    <col min="1" max="1" width="7" style="4" customWidth="1"/>
    <col min="2" max="2" width="25.140625" style="4" customWidth="1"/>
    <col min="3" max="3" width="82.7109375" style="4" customWidth="1"/>
    <col min="4" max="7" width="28.42578125" style="175" customWidth="1"/>
    <col min="8" max="8" width="30.7109375" style="175" customWidth="1"/>
    <col min="9" max="9" width="16" style="175" customWidth="1"/>
    <col min="10" max="10" width="13.7109375" style="175" customWidth="1"/>
    <col min="11" max="11" width="4.140625" style="4" hidden="1" customWidth="1"/>
    <col min="12" max="12" width="31" style="175" bestFit="1" customWidth="1"/>
    <col min="13" max="14" width="28.28515625" style="4" bestFit="1" customWidth="1"/>
    <col min="15" max="15" width="26.28515625" style="4" customWidth="1"/>
    <col min="16" max="16384" width="9.28515625" style="4"/>
  </cols>
  <sheetData>
    <row r="1" spans="1:17" x14ac:dyDescent="0.25">
      <c r="A1" s="1"/>
      <c r="B1" s="1"/>
      <c r="C1" s="2"/>
      <c r="K1" s="3"/>
    </row>
    <row r="2" spans="1:17" ht="25.5" x14ac:dyDescent="0.25">
      <c r="A2" s="1"/>
      <c r="B2" s="444" t="s">
        <v>0</v>
      </c>
      <c r="C2" s="444"/>
      <c r="E2" s="5" t="s">
        <v>486</v>
      </c>
      <c r="F2" s="5"/>
      <c r="K2" s="1"/>
      <c r="M2" s="5"/>
    </row>
    <row r="3" spans="1:17" x14ac:dyDescent="0.25">
      <c r="A3" s="1"/>
      <c r="B3" s="445" t="s">
        <v>480</v>
      </c>
      <c r="C3" s="445"/>
      <c r="E3" s="5" t="s">
        <v>631</v>
      </c>
      <c r="F3" s="5"/>
      <c r="M3" s="5"/>
    </row>
    <row r="4" spans="1:17" x14ac:dyDescent="0.25">
      <c r="A4" s="1"/>
      <c r="B4" s="446" t="s">
        <v>481</v>
      </c>
      <c r="C4" s="446"/>
      <c r="E4" s="6" t="s">
        <v>689</v>
      </c>
      <c r="F4" s="6"/>
      <c r="M4" s="6"/>
    </row>
    <row r="5" spans="1:17" ht="19.5" x14ac:dyDescent="0.25">
      <c r="A5" s="1"/>
      <c r="B5" s="447"/>
      <c r="C5" s="447"/>
      <c r="K5" s="1"/>
    </row>
    <row r="6" spans="1:17" ht="18.75" thickBot="1" x14ac:dyDescent="0.3">
      <c r="A6" s="1"/>
      <c r="B6" s="338"/>
      <c r="C6" s="338"/>
      <c r="D6" s="8"/>
      <c r="E6" s="8"/>
      <c r="F6" s="8"/>
      <c r="G6" s="448"/>
      <c r="H6" s="448"/>
      <c r="I6" s="448"/>
      <c r="J6" s="354"/>
      <c r="K6" s="7"/>
    </row>
    <row r="7" spans="1:17" s="10" customFormat="1" ht="29.25" customHeight="1" x14ac:dyDescent="0.25">
      <c r="A7" s="435" t="s">
        <v>2</v>
      </c>
      <c r="B7" s="437" t="s">
        <v>3</v>
      </c>
      <c r="C7" s="437" t="s">
        <v>4</v>
      </c>
      <c r="D7" s="202" t="s">
        <v>5</v>
      </c>
      <c r="E7" s="202" t="s">
        <v>5</v>
      </c>
      <c r="F7" s="441" t="s">
        <v>475</v>
      </c>
      <c r="G7" s="441"/>
      <c r="H7" s="441"/>
      <c r="I7" s="355" t="s">
        <v>6</v>
      </c>
      <c r="J7" s="352" t="s">
        <v>6</v>
      </c>
      <c r="K7" s="442" t="s">
        <v>7</v>
      </c>
      <c r="L7" s="9"/>
    </row>
    <row r="8" spans="1:17" s="10" customFormat="1" ht="29.25" customHeight="1" thickBot="1" x14ac:dyDescent="0.3">
      <c r="A8" s="436"/>
      <c r="B8" s="438"/>
      <c r="C8" s="438"/>
      <c r="D8" s="203" t="s">
        <v>632</v>
      </c>
      <c r="E8" s="203" t="s">
        <v>697</v>
      </c>
      <c r="F8" s="204" t="s">
        <v>476</v>
      </c>
      <c r="G8" s="204" t="s">
        <v>477</v>
      </c>
      <c r="H8" s="204" t="s">
        <v>478</v>
      </c>
      <c r="I8" s="356" t="s">
        <v>698</v>
      </c>
      <c r="J8" s="353" t="s">
        <v>699</v>
      </c>
      <c r="K8" s="443"/>
      <c r="L8" s="9"/>
    </row>
    <row r="9" spans="1:17" s="16" customFormat="1" ht="14.65" customHeight="1" x14ac:dyDescent="0.25">
      <c r="A9" s="11">
        <v>1</v>
      </c>
      <c r="B9" s="12">
        <v>2</v>
      </c>
      <c r="C9" s="13">
        <v>3</v>
      </c>
      <c r="D9" s="14">
        <v>4</v>
      </c>
      <c r="E9" s="14"/>
      <c r="F9" s="14">
        <v>5</v>
      </c>
      <c r="G9" s="14">
        <v>6</v>
      </c>
      <c r="H9" s="15" t="s">
        <v>582</v>
      </c>
      <c r="I9" s="357" t="s">
        <v>583</v>
      </c>
      <c r="J9" s="235"/>
      <c r="K9" s="205">
        <v>9</v>
      </c>
      <c r="L9" s="7"/>
    </row>
    <row r="10" spans="1:17" x14ac:dyDescent="0.25">
      <c r="A10" s="17"/>
      <c r="B10" s="18"/>
      <c r="C10" s="19"/>
      <c r="D10" s="20"/>
      <c r="E10" s="20"/>
      <c r="F10" s="20"/>
      <c r="G10" s="20"/>
      <c r="H10" s="20"/>
      <c r="I10" s="358"/>
      <c r="J10" s="21"/>
      <c r="K10" s="206"/>
    </row>
    <row r="11" spans="1:17" s="176" customFormat="1" ht="25.5" customHeight="1" x14ac:dyDescent="0.25">
      <c r="A11" s="169"/>
      <c r="B11" s="167" t="s">
        <v>8</v>
      </c>
      <c r="C11" s="185" t="s">
        <v>9</v>
      </c>
      <c r="D11" s="191">
        <f>SUM(D12+D231+D449)</f>
        <v>1278070744453.6699</v>
      </c>
      <c r="E11" s="191">
        <f>SUM(E12+E231+E449)</f>
        <v>1365633825116</v>
      </c>
      <c r="F11" s="191">
        <f>SUM(F12+F231+F449)</f>
        <v>774533121327.94995</v>
      </c>
      <c r="G11" s="191">
        <f>SUM(G12+G231+G449)</f>
        <v>104265082812.17999</v>
      </c>
      <c r="H11" s="191">
        <f>SUM(H12+H231+H449)</f>
        <v>878798204140.12988</v>
      </c>
      <c r="I11" s="359">
        <f>H11/D11</f>
        <v>0.68759746512763276</v>
      </c>
      <c r="J11" s="236">
        <f>H11/E11</f>
        <v>0.64350940052724803</v>
      </c>
      <c r="K11" s="207"/>
      <c r="L11" s="326"/>
      <c r="M11" s="326"/>
      <c r="N11" s="326"/>
    </row>
    <row r="12" spans="1:17" s="176" customFormat="1" ht="27.75" customHeight="1" x14ac:dyDescent="0.25">
      <c r="A12" s="126" t="s">
        <v>10</v>
      </c>
      <c r="B12" s="127" t="s">
        <v>11</v>
      </c>
      <c r="C12" s="41" t="s">
        <v>12</v>
      </c>
      <c r="D12" s="42">
        <f>SUM(D13+D14+D101+D107)</f>
        <v>392981073389.67004</v>
      </c>
      <c r="E12" s="42">
        <f>SUM(E13+E14+E101+E107)</f>
        <v>443574940245</v>
      </c>
      <c r="F12" s="42">
        <f>SUM(F13+F14+F101+F107)</f>
        <v>307420128470.95001</v>
      </c>
      <c r="G12" s="42">
        <f>SUM(G13+G14+G101+G107)</f>
        <v>39568164592.18</v>
      </c>
      <c r="H12" s="42">
        <f>SUM(H13+H14+H101+H107)</f>
        <v>346988293063.12994</v>
      </c>
      <c r="I12" s="360">
        <f>H12/D12</f>
        <v>0.88296438825964829</v>
      </c>
      <c r="J12" s="237">
        <f t="shared" ref="J12:J77" si="0">H12/E12</f>
        <v>0.78225404904857276</v>
      </c>
      <c r="K12" s="208"/>
      <c r="L12" s="326"/>
      <c r="M12" s="326"/>
      <c r="N12" s="326"/>
    </row>
    <row r="13" spans="1:17" s="176" customFormat="1" ht="25.5" customHeight="1" x14ac:dyDescent="0.25">
      <c r="A13" s="169" t="s">
        <v>13</v>
      </c>
      <c r="B13" s="167" t="s">
        <v>14</v>
      </c>
      <c r="C13" s="185" t="s">
        <v>15</v>
      </c>
      <c r="D13" s="191">
        <f>SUM(D17+D18+D19+D20+D21+D25+D22+D23+D26+D24+D27)</f>
        <v>197002700000</v>
      </c>
      <c r="E13" s="191">
        <f>SUM(E17+E18+E19+E20+E21+E25+E22+E23+E26+E24+E27)</f>
        <v>222013986230</v>
      </c>
      <c r="F13" s="191">
        <f t="shared" ref="F13:H13" si="1">SUM(F17+F18+F19+F20+F21+F25+F22+F23+F26+F24+F27)</f>
        <v>166422888766.35999</v>
      </c>
      <c r="G13" s="191">
        <f>SUM(G17+G18+G19+G20+G21+G25+G22+G23+G26+G24+G27)</f>
        <v>24351771150</v>
      </c>
      <c r="H13" s="191">
        <f t="shared" si="1"/>
        <v>190774659916.35999</v>
      </c>
      <c r="I13" s="359">
        <f>H13/D13</f>
        <v>0.96838601661987367</v>
      </c>
      <c r="J13" s="236">
        <f t="shared" si="0"/>
        <v>0.85929117870404348</v>
      </c>
      <c r="K13" s="209"/>
      <c r="L13" s="326"/>
      <c r="M13" s="326"/>
      <c r="N13" s="326"/>
    </row>
    <row r="14" spans="1:17" s="176" customFormat="1" ht="25.5" customHeight="1" x14ac:dyDescent="0.25">
      <c r="A14" s="169" t="s">
        <v>16</v>
      </c>
      <c r="B14" s="167" t="s">
        <v>17</v>
      </c>
      <c r="C14" s="185" t="s">
        <v>18</v>
      </c>
      <c r="D14" s="191">
        <f>SUM(D29+D52+D57+D63+D68+D75+D79+D84+D96+D92+D43)</f>
        <v>47985440000</v>
      </c>
      <c r="E14" s="191">
        <f>SUM(E29+E52+E57+E63+E68+E75+E79+E84+E96+E92+E43)</f>
        <v>47985440000</v>
      </c>
      <c r="F14" s="191">
        <f>SUM(F29+F52+F57+F63+F68+F75+F79+F84+F96+F92+F43)</f>
        <v>15406769683.17</v>
      </c>
      <c r="G14" s="191">
        <f>SUM(G29+G52+G57+G63+G68+G75+G79+G84+G96+G92+G43)</f>
        <v>3399294564</v>
      </c>
      <c r="H14" s="191">
        <f>SUM(H29+H52+H57+H63+H68+H75+H79+H84+H96+H92+H43)</f>
        <v>18806064247.169998</v>
      </c>
      <c r="I14" s="359">
        <f>H14/D14</f>
        <v>0.39191188508785163</v>
      </c>
      <c r="J14" s="236">
        <f t="shared" si="0"/>
        <v>0.39191188508785163</v>
      </c>
      <c r="K14" s="209"/>
      <c r="L14" s="326"/>
      <c r="M14" s="326"/>
      <c r="N14" s="326"/>
      <c r="O14" s="282"/>
      <c r="P14" s="282"/>
      <c r="Q14" s="282"/>
    </row>
    <row r="15" spans="1:17" s="176" customFormat="1" x14ac:dyDescent="0.25">
      <c r="A15" s="169"/>
      <c r="B15" s="22"/>
      <c r="C15" s="185"/>
      <c r="D15" s="191"/>
      <c r="E15" s="191"/>
      <c r="F15" s="191"/>
      <c r="G15" s="191"/>
      <c r="H15" s="191"/>
      <c r="I15" s="359"/>
      <c r="J15" s="236"/>
      <c r="K15" s="209"/>
      <c r="L15" s="280"/>
      <c r="M15" s="282"/>
      <c r="N15" s="282"/>
      <c r="O15" s="282"/>
      <c r="P15" s="282"/>
      <c r="Q15" s="282"/>
    </row>
    <row r="16" spans="1:17" s="187" customFormat="1" ht="22.5" customHeight="1" x14ac:dyDescent="0.25">
      <c r="A16" s="23" t="s">
        <v>19</v>
      </c>
      <c r="B16" s="46" t="s">
        <v>281</v>
      </c>
      <c r="C16" s="185" t="s">
        <v>1</v>
      </c>
      <c r="D16" s="196">
        <f>SUM(D17:D27)</f>
        <v>197002700000</v>
      </c>
      <c r="E16" s="196">
        <f>SUM(E17:E27)</f>
        <v>222013986230</v>
      </c>
      <c r="F16" s="196">
        <f>SUM(F17:F27)</f>
        <v>166422888766.35999</v>
      </c>
      <c r="G16" s="196">
        <f>SUM(G17:G27)</f>
        <v>24351771150</v>
      </c>
      <c r="H16" s="191">
        <f>SUM(H17:H27)</f>
        <v>190774659916.35999</v>
      </c>
      <c r="I16" s="359">
        <f t="shared" ref="I16:I27" si="2">H16/D16</f>
        <v>0.96838601661987367</v>
      </c>
      <c r="J16" s="236">
        <f t="shared" si="0"/>
        <v>0.85929117870404348</v>
      </c>
      <c r="K16" s="210"/>
      <c r="L16" s="297"/>
      <c r="M16" s="314"/>
      <c r="N16" s="279"/>
      <c r="O16" s="279"/>
      <c r="P16" s="279"/>
      <c r="Q16" s="279"/>
    </row>
    <row r="17" spans="1:17" s="176" customFormat="1" ht="18.75" customHeight="1" x14ac:dyDescent="0.25">
      <c r="A17" s="188"/>
      <c r="B17" s="177" t="s">
        <v>269</v>
      </c>
      <c r="C17" s="183" t="s">
        <v>20</v>
      </c>
      <c r="D17" s="192">
        <v>6000000000</v>
      </c>
      <c r="E17" s="192">
        <v>4550000000</v>
      </c>
      <c r="F17" s="192">
        <f>'Realisasi Juli'!G17</f>
        <v>2709436538</v>
      </c>
      <c r="G17" s="192">
        <v>454315514</v>
      </c>
      <c r="H17" s="192">
        <f>F17+G17</f>
        <v>3163752052</v>
      </c>
      <c r="I17" s="361">
        <f t="shared" si="2"/>
        <v>0.5272920086666667</v>
      </c>
      <c r="J17" s="24">
        <f t="shared" si="0"/>
        <v>0.69533012131868133</v>
      </c>
      <c r="K17" s="211" t="s">
        <v>21</v>
      </c>
      <c r="L17" s="294"/>
      <c r="M17" s="296"/>
      <c r="N17" s="282"/>
      <c r="O17" s="282"/>
      <c r="P17" s="282"/>
      <c r="Q17" s="282"/>
    </row>
    <row r="18" spans="1:17" s="176" customFormat="1" ht="18.75" customHeight="1" x14ac:dyDescent="0.25">
      <c r="A18" s="188"/>
      <c r="B18" s="177" t="s">
        <v>270</v>
      </c>
      <c r="C18" s="183" t="s">
        <v>22</v>
      </c>
      <c r="D18" s="192">
        <v>9500000000</v>
      </c>
      <c r="E18" s="192">
        <v>10000000000</v>
      </c>
      <c r="F18" s="192">
        <f>'Realisasi Juli'!G18</f>
        <v>5935100392</v>
      </c>
      <c r="G18" s="192">
        <v>991847887</v>
      </c>
      <c r="H18" s="192">
        <f t="shared" ref="H18:H27" si="3">F18+G18</f>
        <v>6926948279</v>
      </c>
      <c r="I18" s="361">
        <f t="shared" si="2"/>
        <v>0.72915245042105259</v>
      </c>
      <c r="J18" s="24">
        <f t="shared" si="0"/>
        <v>0.69269482790000003</v>
      </c>
      <c r="K18" s="212" t="s">
        <v>23</v>
      </c>
      <c r="L18" s="294"/>
      <c r="M18" s="296"/>
      <c r="N18" s="282"/>
      <c r="O18" s="282" t="s">
        <v>629</v>
      </c>
      <c r="P18" s="282"/>
      <c r="Q18" s="282"/>
    </row>
    <row r="19" spans="1:17" s="176" customFormat="1" ht="18.75" customHeight="1" x14ac:dyDescent="0.25">
      <c r="A19" s="188"/>
      <c r="B19" s="177" t="s">
        <v>271</v>
      </c>
      <c r="C19" s="183" t="s">
        <v>24</v>
      </c>
      <c r="D19" s="192">
        <v>1500000000</v>
      </c>
      <c r="E19" s="192">
        <v>1800000000</v>
      </c>
      <c r="F19" s="192">
        <f>'Realisasi Juli'!G19</f>
        <v>1073157220</v>
      </c>
      <c r="G19" s="192">
        <v>239359644</v>
      </c>
      <c r="H19" s="192">
        <f t="shared" si="3"/>
        <v>1312516864</v>
      </c>
      <c r="I19" s="361">
        <f t="shared" si="2"/>
        <v>0.87501124266666663</v>
      </c>
      <c r="J19" s="24">
        <f t="shared" si="0"/>
        <v>0.72917603555555555</v>
      </c>
      <c r="K19" s="211" t="s">
        <v>25</v>
      </c>
      <c r="L19" s="294"/>
      <c r="M19" s="296"/>
      <c r="N19" s="282"/>
      <c r="O19" s="282"/>
      <c r="P19" s="282"/>
      <c r="Q19" s="282"/>
    </row>
    <row r="20" spans="1:17" s="176" customFormat="1" ht="18.75" customHeight="1" x14ac:dyDescent="0.25">
      <c r="A20" s="188"/>
      <c r="B20" s="177" t="s">
        <v>272</v>
      </c>
      <c r="C20" s="183" t="s">
        <v>26</v>
      </c>
      <c r="D20" s="192">
        <v>3500000000</v>
      </c>
      <c r="E20" s="192">
        <v>2900000000</v>
      </c>
      <c r="F20" s="192">
        <f>'Realisasi Juli'!G20</f>
        <v>1824461256</v>
      </c>
      <c r="G20" s="192">
        <v>133258899</v>
      </c>
      <c r="H20" s="192">
        <f t="shared" si="3"/>
        <v>1957720155</v>
      </c>
      <c r="I20" s="361">
        <f t="shared" si="2"/>
        <v>0.55934861571428574</v>
      </c>
      <c r="J20" s="24">
        <f t="shared" si="0"/>
        <v>0.67507591551724133</v>
      </c>
      <c r="K20" s="211" t="s">
        <v>27</v>
      </c>
      <c r="L20" s="294"/>
      <c r="M20" s="296"/>
      <c r="N20" s="282"/>
      <c r="O20" s="282"/>
      <c r="P20" s="282"/>
      <c r="Q20" s="282"/>
    </row>
    <row r="21" spans="1:17" s="176" customFormat="1" ht="18.75" customHeight="1" x14ac:dyDescent="0.25">
      <c r="A21" s="188"/>
      <c r="B21" s="177" t="s">
        <v>676</v>
      </c>
      <c r="C21" s="183" t="s">
        <v>677</v>
      </c>
      <c r="D21" s="192">
        <v>51000000000</v>
      </c>
      <c r="E21" s="192">
        <v>51000000000</v>
      </c>
      <c r="F21" s="192">
        <f>'Realisasi Juli'!G21</f>
        <v>30705535505.360001</v>
      </c>
      <c r="G21" s="192">
        <f>906503579+3468482864</f>
        <v>4374986443</v>
      </c>
      <c r="H21" s="192">
        <f t="shared" si="3"/>
        <v>35080521948.360001</v>
      </c>
      <c r="I21" s="361">
        <f t="shared" si="2"/>
        <v>0.68785337153647064</v>
      </c>
      <c r="J21" s="24">
        <f t="shared" si="0"/>
        <v>0.68785337153647064</v>
      </c>
      <c r="K21" s="211" t="s">
        <v>28</v>
      </c>
      <c r="L21" s="294"/>
      <c r="M21" s="296"/>
      <c r="N21" s="282"/>
      <c r="O21" s="282"/>
      <c r="P21" s="282"/>
      <c r="Q21" s="282"/>
    </row>
    <row r="22" spans="1:17" s="176" customFormat="1" ht="18.75" customHeight="1" x14ac:dyDescent="0.25">
      <c r="A22" s="188"/>
      <c r="B22" s="177" t="s">
        <v>273</v>
      </c>
      <c r="C22" s="183" t="s">
        <v>31</v>
      </c>
      <c r="D22" s="192">
        <v>1800000000</v>
      </c>
      <c r="E22" s="192">
        <v>600000000</v>
      </c>
      <c r="F22" s="192">
        <f>'Realisasi Juli'!G22</f>
        <v>454805403</v>
      </c>
      <c r="G22" s="192">
        <v>60892800</v>
      </c>
      <c r="H22" s="192">
        <f t="shared" si="3"/>
        <v>515698203</v>
      </c>
      <c r="I22" s="361">
        <f t="shared" si="2"/>
        <v>0.28649900166666664</v>
      </c>
      <c r="J22" s="24">
        <f t="shared" si="0"/>
        <v>0.85949700500000004</v>
      </c>
      <c r="K22" s="213" t="s">
        <v>32</v>
      </c>
      <c r="L22" s="294"/>
      <c r="M22" s="296"/>
      <c r="N22" s="282"/>
      <c r="O22" s="282"/>
      <c r="P22" s="282"/>
      <c r="Q22" s="282"/>
    </row>
    <row r="23" spans="1:17" s="176" customFormat="1" ht="18.75" customHeight="1" x14ac:dyDescent="0.25">
      <c r="A23" s="188"/>
      <c r="B23" s="177" t="s">
        <v>274</v>
      </c>
      <c r="C23" s="183" t="s">
        <v>33</v>
      </c>
      <c r="D23" s="192">
        <v>1430800000</v>
      </c>
      <c r="E23" s="192">
        <v>1100000000</v>
      </c>
      <c r="F23" s="192">
        <f>'Realisasi Juli'!G23</f>
        <v>580659116</v>
      </c>
      <c r="G23" s="192">
        <v>114652317</v>
      </c>
      <c r="H23" s="192">
        <f t="shared" si="3"/>
        <v>695311433</v>
      </c>
      <c r="I23" s="361">
        <f t="shared" si="2"/>
        <v>0.48595990564719038</v>
      </c>
      <c r="J23" s="24">
        <f t="shared" si="0"/>
        <v>0.63210130272727272</v>
      </c>
      <c r="K23" s="213" t="s">
        <v>34</v>
      </c>
      <c r="L23" s="294"/>
      <c r="M23" s="296"/>
      <c r="N23" s="282"/>
      <c r="O23" s="282"/>
      <c r="P23" s="282"/>
      <c r="Q23" s="282"/>
    </row>
    <row r="24" spans="1:17" s="176" customFormat="1" ht="18.75" customHeight="1" x14ac:dyDescent="0.25">
      <c r="A24" s="188"/>
      <c r="B24" s="177" t="s">
        <v>275</v>
      </c>
      <c r="C24" s="183" t="s">
        <v>35</v>
      </c>
      <c r="D24" s="192">
        <v>115200000</v>
      </c>
      <c r="E24" s="192">
        <v>92000000</v>
      </c>
      <c r="F24" s="192">
        <f>'Realisasi Juli'!G24</f>
        <v>60211460</v>
      </c>
      <c r="G24" s="192">
        <v>6900080</v>
      </c>
      <c r="H24" s="192">
        <f t="shared" si="3"/>
        <v>67111540</v>
      </c>
      <c r="I24" s="361">
        <f t="shared" si="2"/>
        <v>0.58256545138888893</v>
      </c>
      <c r="J24" s="24">
        <f t="shared" si="0"/>
        <v>0.72947326086956521</v>
      </c>
      <c r="K24" s="213" t="s">
        <v>36</v>
      </c>
      <c r="L24" s="294"/>
      <c r="M24" s="296"/>
      <c r="N24" s="282"/>
      <c r="O24" s="282"/>
      <c r="P24" s="282"/>
      <c r="Q24" s="282"/>
    </row>
    <row r="25" spans="1:17" s="176" customFormat="1" ht="18.75" customHeight="1" x14ac:dyDescent="0.25">
      <c r="A25" s="188"/>
      <c r="B25" s="177" t="s">
        <v>276</v>
      </c>
      <c r="C25" s="183" t="s">
        <v>29</v>
      </c>
      <c r="D25" s="192">
        <v>1606700000</v>
      </c>
      <c r="E25" s="192">
        <v>0</v>
      </c>
      <c r="F25" s="192">
        <f>'Realisasi Juli'!G25</f>
        <v>0</v>
      </c>
      <c r="G25" s="192">
        <v>0</v>
      </c>
      <c r="H25" s="192">
        <f>F25+G25</f>
        <v>0</v>
      </c>
      <c r="I25" s="361">
        <f t="shared" si="2"/>
        <v>0</v>
      </c>
      <c r="J25" s="24" t="e">
        <f t="shared" si="0"/>
        <v>#DIV/0!</v>
      </c>
      <c r="K25" s="214" t="s">
        <v>30</v>
      </c>
      <c r="L25" s="294"/>
      <c r="M25" s="296"/>
      <c r="N25" s="295"/>
      <c r="O25" s="295"/>
      <c r="P25" s="282"/>
      <c r="Q25" s="282"/>
    </row>
    <row r="26" spans="1:17" s="176" customFormat="1" ht="18.75" customHeight="1" x14ac:dyDescent="0.25">
      <c r="A26" s="188"/>
      <c r="B26" s="177" t="s">
        <v>277</v>
      </c>
      <c r="C26" s="171" t="s">
        <v>278</v>
      </c>
      <c r="D26" s="178">
        <v>101000000000</v>
      </c>
      <c r="E26" s="178">
        <v>130971986230</v>
      </c>
      <c r="F26" s="192">
        <f>'Realisasi Juli'!G26</f>
        <v>117535153566</v>
      </c>
      <c r="G26" s="178">
        <v>13064944828</v>
      </c>
      <c r="H26" s="192">
        <f>F26+G26</f>
        <v>130600098394</v>
      </c>
      <c r="I26" s="361">
        <f t="shared" si="2"/>
        <v>1.2930702811287129</v>
      </c>
      <c r="J26" s="24">
        <f t="shared" si="0"/>
        <v>0.99716055435437223</v>
      </c>
      <c r="K26" s="213" t="s">
        <v>37</v>
      </c>
      <c r="L26" s="294"/>
      <c r="M26" s="296"/>
      <c r="N26" s="295"/>
      <c r="O26" s="295"/>
    </row>
    <row r="27" spans="1:17" s="176" customFormat="1" x14ac:dyDescent="0.25">
      <c r="A27" s="188"/>
      <c r="B27" s="177" t="s">
        <v>279</v>
      </c>
      <c r="C27" s="183" t="s">
        <v>38</v>
      </c>
      <c r="D27" s="178">
        <v>19550000000</v>
      </c>
      <c r="E27" s="178">
        <v>19000000000</v>
      </c>
      <c r="F27" s="192">
        <f>'Realisasi Juli'!G27</f>
        <v>5544368310</v>
      </c>
      <c r="G27" s="178">
        <v>4910612738</v>
      </c>
      <c r="H27" s="192">
        <f t="shared" si="3"/>
        <v>10454981048</v>
      </c>
      <c r="I27" s="361">
        <f t="shared" si="2"/>
        <v>0.53478163928388744</v>
      </c>
      <c r="J27" s="24">
        <f t="shared" si="0"/>
        <v>0.55026216042105258</v>
      </c>
      <c r="K27" s="215" t="s">
        <v>474</v>
      </c>
      <c r="L27" s="294"/>
      <c r="M27" s="296"/>
      <c r="N27" s="295"/>
      <c r="O27" s="295"/>
    </row>
    <row r="28" spans="1:17" s="176" customFormat="1" x14ac:dyDescent="0.25">
      <c r="A28" s="169"/>
      <c r="B28" s="22"/>
      <c r="C28" s="25"/>
      <c r="D28" s="191"/>
      <c r="E28" s="191"/>
      <c r="F28" s="192"/>
      <c r="G28" s="191"/>
      <c r="H28" s="191"/>
      <c r="I28" s="359"/>
      <c r="J28" s="236"/>
      <c r="K28" s="216"/>
      <c r="L28" s="294"/>
      <c r="M28" s="295"/>
    </row>
    <row r="29" spans="1:17" s="187" customFormat="1" x14ac:dyDescent="0.25">
      <c r="A29" s="26" t="s">
        <v>39</v>
      </c>
      <c r="B29" s="22" t="s">
        <v>282</v>
      </c>
      <c r="C29" s="185" t="s">
        <v>40</v>
      </c>
      <c r="D29" s="196">
        <f>D30+D37</f>
        <v>1009950000</v>
      </c>
      <c r="E29" s="196">
        <f t="shared" ref="E29:H29" si="4">E30+E37</f>
        <v>1009950000</v>
      </c>
      <c r="F29" s="196">
        <f t="shared" si="4"/>
        <v>391919000</v>
      </c>
      <c r="G29" s="196">
        <f t="shared" si="4"/>
        <v>72724000</v>
      </c>
      <c r="H29" s="196">
        <f t="shared" si="4"/>
        <v>464643000</v>
      </c>
      <c r="I29" s="359">
        <f t="shared" ref="I29:I38" si="5">H29/D29</f>
        <v>0.46006534976979058</v>
      </c>
      <c r="J29" s="236">
        <f t="shared" si="0"/>
        <v>0.46006534976979058</v>
      </c>
      <c r="K29" s="216"/>
      <c r="L29" s="297"/>
      <c r="M29" s="298"/>
    </row>
    <row r="30" spans="1:17" s="187" customFormat="1" x14ac:dyDescent="0.25">
      <c r="A30" s="26" t="s">
        <v>413</v>
      </c>
      <c r="B30" s="170" t="s">
        <v>288</v>
      </c>
      <c r="C30" s="185" t="s">
        <v>55</v>
      </c>
      <c r="D30" s="196">
        <f>D31+D40</f>
        <v>1000000000</v>
      </c>
      <c r="E30" s="196">
        <f t="shared" ref="E30:H30" si="6">E31+E40</f>
        <v>1000000000</v>
      </c>
      <c r="F30" s="196">
        <f t="shared" si="6"/>
        <v>391919000</v>
      </c>
      <c r="G30" s="196">
        <f t="shared" si="6"/>
        <v>59724000</v>
      </c>
      <c r="H30" s="196">
        <f t="shared" si="6"/>
        <v>451643000</v>
      </c>
      <c r="I30" s="359">
        <f t="shared" si="5"/>
        <v>0.45164300000000002</v>
      </c>
      <c r="J30" s="236">
        <f t="shared" si="0"/>
        <v>0.45164300000000002</v>
      </c>
      <c r="K30" s="216"/>
      <c r="L30" s="297"/>
      <c r="M30" s="298"/>
    </row>
    <row r="31" spans="1:17" s="176" customFormat="1" x14ac:dyDescent="0.25">
      <c r="A31" s="188"/>
      <c r="B31" s="179" t="s">
        <v>488</v>
      </c>
      <c r="C31" s="185" t="s">
        <v>280</v>
      </c>
      <c r="D31" s="191">
        <f>SUM(D32:D35)</f>
        <v>750000000</v>
      </c>
      <c r="E31" s="191">
        <f>SUM(E32:E35)</f>
        <v>750000000</v>
      </c>
      <c r="F31" s="191">
        <f t="shared" ref="F31:G31" si="7">SUM(F32:F35)</f>
        <v>220396000</v>
      </c>
      <c r="G31" s="191">
        <f t="shared" si="7"/>
        <v>42894000</v>
      </c>
      <c r="H31" s="191">
        <f>SUM(H32:H35)</f>
        <v>263290000</v>
      </c>
      <c r="I31" s="359">
        <f t="shared" si="5"/>
        <v>0.35105333333333333</v>
      </c>
      <c r="J31" s="236">
        <f t="shared" si="0"/>
        <v>0.35105333333333333</v>
      </c>
      <c r="K31" s="207" t="s">
        <v>41</v>
      </c>
      <c r="L31" s="294"/>
      <c r="M31" s="295"/>
    </row>
    <row r="32" spans="1:17" s="176" customFormat="1" x14ac:dyDescent="0.25">
      <c r="A32" s="188"/>
      <c r="B32" s="177" t="s">
        <v>489</v>
      </c>
      <c r="C32" s="183" t="s">
        <v>42</v>
      </c>
      <c r="D32" s="192">
        <v>220000000</v>
      </c>
      <c r="E32" s="192">
        <v>220000000</v>
      </c>
      <c r="F32" s="192">
        <f>'Realisasi Juli'!G32</f>
        <v>44386000</v>
      </c>
      <c r="G32" s="192">
        <v>7089000</v>
      </c>
      <c r="H32" s="192">
        <f>F32+G32</f>
        <v>51475000</v>
      </c>
      <c r="I32" s="361">
        <f t="shared" si="5"/>
        <v>0.23397727272727273</v>
      </c>
      <c r="J32" s="24">
        <f t="shared" si="0"/>
        <v>0.23397727272727273</v>
      </c>
      <c r="K32" s="207"/>
      <c r="L32" s="294"/>
      <c r="M32" s="295"/>
    </row>
    <row r="33" spans="1:12" s="176" customFormat="1" x14ac:dyDescent="0.25">
      <c r="A33" s="188"/>
      <c r="B33" s="177" t="s">
        <v>490</v>
      </c>
      <c r="C33" s="183" t="s">
        <v>43</v>
      </c>
      <c r="D33" s="192">
        <v>494000000</v>
      </c>
      <c r="E33" s="192">
        <v>494000000</v>
      </c>
      <c r="F33" s="192">
        <f>'Realisasi Juli'!G33</f>
        <v>146160000</v>
      </c>
      <c r="G33" s="192">
        <v>24225000</v>
      </c>
      <c r="H33" s="192">
        <f t="shared" ref="H33:H38" si="8">F33+G33</f>
        <v>170385000</v>
      </c>
      <c r="I33" s="361">
        <f t="shared" si="5"/>
        <v>0.34490890688259107</v>
      </c>
      <c r="J33" s="24">
        <f t="shared" si="0"/>
        <v>0.34490890688259107</v>
      </c>
      <c r="K33" s="207"/>
      <c r="L33" s="175"/>
    </row>
    <row r="34" spans="1:12" s="176" customFormat="1" ht="17.25" customHeight="1" x14ac:dyDescent="0.25">
      <c r="A34" s="188"/>
      <c r="B34" s="177" t="s">
        <v>491</v>
      </c>
      <c r="C34" s="183" t="s">
        <v>44</v>
      </c>
      <c r="D34" s="192">
        <v>36000000</v>
      </c>
      <c r="E34" s="192">
        <v>36000000</v>
      </c>
      <c r="F34" s="192">
        <f>'Realisasi Juli'!G34</f>
        <v>29850000</v>
      </c>
      <c r="G34" s="192">
        <v>11580000</v>
      </c>
      <c r="H34" s="192">
        <f t="shared" si="8"/>
        <v>41430000</v>
      </c>
      <c r="I34" s="361">
        <f t="shared" si="5"/>
        <v>1.1508333333333334</v>
      </c>
      <c r="J34" s="24">
        <f t="shared" si="0"/>
        <v>1.1508333333333334</v>
      </c>
      <c r="K34" s="207"/>
      <c r="L34" s="175"/>
    </row>
    <row r="35" spans="1:12" s="176" customFormat="1" hidden="1" x14ac:dyDescent="0.25">
      <c r="A35" s="188"/>
      <c r="B35" s="177"/>
      <c r="C35" s="183" t="s">
        <v>45</v>
      </c>
      <c r="D35" s="192"/>
      <c r="E35" s="192"/>
      <c r="F35" s="192">
        <f>'Realisasi Juli'!G35</f>
        <v>0</v>
      </c>
      <c r="G35" s="192"/>
      <c r="H35" s="192">
        <f t="shared" si="8"/>
        <v>0</v>
      </c>
      <c r="I35" s="361" t="e">
        <f t="shared" si="5"/>
        <v>#DIV/0!</v>
      </c>
      <c r="J35" s="24" t="e">
        <f t="shared" si="0"/>
        <v>#DIV/0!</v>
      </c>
      <c r="K35" s="207"/>
      <c r="L35" s="175"/>
    </row>
    <row r="36" spans="1:12" s="176" customFormat="1" ht="15" customHeight="1" x14ac:dyDescent="0.25">
      <c r="A36" s="188"/>
      <c r="B36" s="177"/>
      <c r="C36" s="185" t="s">
        <v>60</v>
      </c>
      <c r="D36" s="192"/>
      <c r="E36" s="192"/>
      <c r="F36" s="192"/>
      <c r="G36" s="192"/>
      <c r="H36" s="192"/>
      <c r="I36" s="361"/>
      <c r="J36" s="24"/>
      <c r="K36" s="207"/>
      <c r="L36" s="175"/>
    </row>
    <row r="37" spans="1:12" s="176" customFormat="1" ht="15" customHeight="1" x14ac:dyDescent="0.25">
      <c r="A37" s="188"/>
      <c r="B37" s="179" t="s">
        <v>305</v>
      </c>
      <c r="C37" s="385" t="s">
        <v>70</v>
      </c>
      <c r="D37" s="191">
        <f>D38</f>
        <v>9950000</v>
      </c>
      <c r="E37" s="191">
        <f t="shared" ref="E37:G37" si="9">E38</f>
        <v>9950000</v>
      </c>
      <c r="F37" s="191">
        <f t="shared" si="9"/>
        <v>0</v>
      </c>
      <c r="G37" s="191">
        <f t="shared" si="9"/>
        <v>13000000</v>
      </c>
      <c r="H37" s="191">
        <f t="shared" si="8"/>
        <v>13000000</v>
      </c>
      <c r="I37" s="359">
        <f t="shared" si="5"/>
        <v>1.306532663316583</v>
      </c>
      <c r="J37" s="236">
        <f t="shared" si="0"/>
        <v>1.306532663316583</v>
      </c>
      <c r="K37" s="207"/>
      <c r="L37" s="175"/>
    </row>
    <row r="38" spans="1:12" s="176" customFormat="1" ht="15" customHeight="1" x14ac:dyDescent="0.25">
      <c r="A38" s="188"/>
      <c r="B38" s="177" t="s">
        <v>511</v>
      </c>
      <c r="C38" s="166" t="s">
        <v>70</v>
      </c>
      <c r="D38" s="192">
        <v>9950000</v>
      </c>
      <c r="E38" s="192">
        <v>9950000</v>
      </c>
      <c r="F38" s="192"/>
      <c r="G38" s="192">
        <v>13000000</v>
      </c>
      <c r="H38" s="192">
        <f t="shared" si="8"/>
        <v>13000000</v>
      </c>
      <c r="I38" s="361">
        <f t="shared" si="5"/>
        <v>1.306532663316583</v>
      </c>
      <c r="J38" s="24">
        <f t="shared" si="0"/>
        <v>1.306532663316583</v>
      </c>
      <c r="K38" s="207"/>
      <c r="L38" s="175"/>
    </row>
    <row r="39" spans="1:12" s="176" customFormat="1" ht="15" customHeight="1" x14ac:dyDescent="0.25">
      <c r="A39" s="188"/>
      <c r="B39" s="177"/>
      <c r="C39" s="166"/>
      <c r="D39" s="192"/>
      <c r="E39" s="192"/>
      <c r="F39" s="192"/>
      <c r="G39" s="192"/>
      <c r="H39" s="192"/>
      <c r="I39" s="361"/>
      <c r="J39" s="236"/>
      <c r="K39" s="207"/>
      <c r="L39" s="175"/>
    </row>
    <row r="40" spans="1:12" s="187" customFormat="1" x14ac:dyDescent="0.25">
      <c r="A40" s="26" t="s">
        <v>414</v>
      </c>
      <c r="B40" s="170" t="s">
        <v>492</v>
      </c>
      <c r="C40" s="185" t="s">
        <v>494</v>
      </c>
      <c r="D40" s="196">
        <f>D41</f>
        <v>250000000</v>
      </c>
      <c r="E40" s="196">
        <f>E41</f>
        <v>250000000</v>
      </c>
      <c r="F40" s="196">
        <f t="shared" ref="F40:H40" si="10">F41</f>
        <v>171523000</v>
      </c>
      <c r="G40" s="196">
        <f t="shared" si="10"/>
        <v>16830000</v>
      </c>
      <c r="H40" s="196">
        <f t="shared" si="10"/>
        <v>188353000</v>
      </c>
      <c r="I40" s="359">
        <f>H40/D40</f>
        <v>0.75341199999999997</v>
      </c>
      <c r="J40" s="236">
        <f t="shared" si="0"/>
        <v>0.75341199999999997</v>
      </c>
      <c r="K40" s="216"/>
      <c r="L40" s="186"/>
    </row>
    <row r="41" spans="1:12" s="176" customFormat="1" x14ac:dyDescent="0.25">
      <c r="A41" s="188"/>
      <c r="B41" s="177" t="s">
        <v>493</v>
      </c>
      <c r="C41" s="183" t="s">
        <v>495</v>
      </c>
      <c r="D41" s="192">
        <v>250000000</v>
      </c>
      <c r="E41" s="192">
        <v>250000000</v>
      </c>
      <c r="F41" s="192">
        <f>'Realisasi Juli'!G38</f>
        <v>171523000</v>
      </c>
      <c r="G41" s="192">
        <v>16830000</v>
      </c>
      <c r="H41" s="181">
        <f>F41+G41</f>
        <v>188353000</v>
      </c>
      <c r="I41" s="361">
        <f>H41/D41</f>
        <v>0.75341199999999997</v>
      </c>
      <c r="J41" s="24">
        <f t="shared" si="0"/>
        <v>0.75341199999999997</v>
      </c>
      <c r="K41" s="207" t="s">
        <v>41</v>
      </c>
      <c r="L41" s="175"/>
    </row>
    <row r="42" spans="1:12" s="176" customFormat="1" ht="15" customHeight="1" x14ac:dyDescent="0.25">
      <c r="A42" s="188"/>
      <c r="B42" s="177"/>
      <c r="C42" s="166"/>
      <c r="D42" s="192"/>
      <c r="E42" s="192"/>
      <c r="F42" s="192"/>
      <c r="G42" s="192"/>
      <c r="H42" s="192"/>
      <c r="I42" s="361"/>
      <c r="J42" s="236"/>
      <c r="K42" s="207"/>
      <c r="L42" s="175"/>
    </row>
    <row r="43" spans="1:12" s="176" customFormat="1" x14ac:dyDescent="0.25">
      <c r="A43" s="168" t="s">
        <v>46</v>
      </c>
      <c r="B43" s="22" t="s">
        <v>592</v>
      </c>
      <c r="C43" s="185" t="s">
        <v>594</v>
      </c>
      <c r="D43" s="196">
        <f>D44+D50</f>
        <v>15125050000</v>
      </c>
      <c r="E43" s="196">
        <f>E44+E50</f>
        <v>15125050000</v>
      </c>
      <c r="F43" s="196">
        <f t="shared" ref="F43:G43" si="11">F44+F50</f>
        <v>1636874683.1700001</v>
      </c>
      <c r="G43" s="196">
        <f t="shared" si="11"/>
        <v>1064593064</v>
      </c>
      <c r="H43" s="196">
        <f>H44+H50</f>
        <v>2701467747.1700001</v>
      </c>
      <c r="I43" s="359">
        <f t="shared" ref="I43:I50" si="12">H43/D43</f>
        <v>0.17860884738695079</v>
      </c>
      <c r="J43" s="236">
        <f t="shared" si="0"/>
        <v>0.17860884738695079</v>
      </c>
      <c r="K43" s="207"/>
      <c r="L43" s="175"/>
    </row>
    <row r="44" spans="1:12" s="176" customFormat="1" x14ac:dyDescent="0.25">
      <c r="A44" s="188"/>
      <c r="B44" s="170" t="s">
        <v>285</v>
      </c>
      <c r="C44" s="185" t="s">
        <v>444</v>
      </c>
      <c r="D44" s="191">
        <f>D45</f>
        <v>135000000</v>
      </c>
      <c r="E44" s="191">
        <f>E45</f>
        <v>135000000</v>
      </c>
      <c r="F44" s="191">
        <f t="shared" ref="F44:H44" si="13">F45</f>
        <v>78800000</v>
      </c>
      <c r="G44" s="191">
        <f t="shared" si="13"/>
        <v>18750000</v>
      </c>
      <c r="H44" s="191">
        <f t="shared" si="13"/>
        <v>97550000</v>
      </c>
      <c r="I44" s="359">
        <f t="shared" si="12"/>
        <v>0.72259259259259256</v>
      </c>
      <c r="J44" s="236">
        <f t="shared" si="0"/>
        <v>0.72259259259259256</v>
      </c>
      <c r="K44" s="207"/>
      <c r="L44" s="175"/>
    </row>
    <row r="45" spans="1:12" s="187" customFormat="1" x14ac:dyDescent="0.25">
      <c r="A45" s="169"/>
      <c r="B45" s="170" t="s">
        <v>284</v>
      </c>
      <c r="C45" s="185" t="s">
        <v>595</v>
      </c>
      <c r="D45" s="191">
        <f>SUM(D46)</f>
        <v>135000000</v>
      </c>
      <c r="E45" s="191">
        <f>SUM(E46)</f>
        <v>135000000</v>
      </c>
      <c r="F45" s="191">
        <f t="shared" ref="F45:H45" si="14">SUM(F46)</f>
        <v>78800000</v>
      </c>
      <c r="G45" s="191">
        <f t="shared" si="14"/>
        <v>18750000</v>
      </c>
      <c r="H45" s="191">
        <f t="shared" si="14"/>
        <v>97550000</v>
      </c>
      <c r="I45" s="359">
        <f t="shared" si="12"/>
        <v>0.72259259259259256</v>
      </c>
      <c r="J45" s="236">
        <f t="shared" si="0"/>
        <v>0.72259259259259256</v>
      </c>
      <c r="K45" s="216"/>
      <c r="L45" s="186"/>
    </row>
    <row r="46" spans="1:12" s="176" customFormat="1" x14ac:dyDescent="0.25">
      <c r="A46" s="188"/>
      <c r="B46" s="170" t="s">
        <v>593</v>
      </c>
      <c r="C46" s="185" t="s">
        <v>595</v>
      </c>
      <c r="D46" s="191">
        <f>SUM(D47:D48)</f>
        <v>135000000</v>
      </c>
      <c r="E46" s="191">
        <f>SUM(E47:E48)</f>
        <v>135000000</v>
      </c>
      <c r="F46" s="191">
        <f t="shared" ref="F46:H46" si="15">SUM(F47:F48)</f>
        <v>78800000</v>
      </c>
      <c r="G46" s="191">
        <f t="shared" si="15"/>
        <v>18750000</v>
      </c>
      <c r="H46" s="191">
        <f t="shared" si="15"/>
        <v>97550000</v>
      </c>
      <c r="I46" s="359">
        <f t="shared" si="12"/>
        <v>0.72259259259259256</v>
      </c>
      <c r="J46" s="236">
        <f t="shared" si="0"/>
        <v>0.72259259259259256</v>
      </c>
      <c r="K46" s="207" t="s">
        <v>47</v>
      </c>
      <c r="L46" s="175"/>
    </row>
    <row r="47" spans="1:12" s="176" customFormat="1" x14ac:dyDescent="0.25">
      <c r="A47" s="188"/>
      <c r="B47" s="178"/>
      <c r="C47" s="193" t="s">
        <v>316</v>
      </c>
      <c r="D47" s="192">
        <v>5000000</v>
      </c>
      <c r="E47" s="192">
        <v>5000000</v>
      </c>
      <c r="F47" s="192">
        <f>'Realisasi Juli'!G44</f>
        <v>600000</v>
      </c>
      <c r="G47" s="192">
        <v>0</v>
      </c>
      <c r="H47" s="192">
        <f>F47+G47</f>
        <v>600000</v>
      </c>
      <c r="I47" s="361">
        <f t="shared" si="12"/>
        <v>0.12</v>
      </c>
      <c r="J47" s="24">
        <f t="shared" si="0"/>
        <v>0.12</v>
      </c>
      <c r="K47" s="207"/>
      <c r="L47" s="175"/>
    </row>
    <row r="48" spans="1:12" s="176" customFormat="1" x14ac:dyDescent="0.25">
      <c r="A48" s="188"/>
      <c r="B48" s="178"/>
      <c r="C48" s="193" t="s">
        <v>317</v>
      </c>
      <c r="D48" s="192">
        <v>130000000</v>
      </c>
      <c r="E48" s="192">
        <v>130000000</v>
      </c>
      <c r="F48" s="192">
        <f>'Realisasi Juli'!G45</f>
        <v>78200000</v>
      </c>
      <c r="G48" s="192">
        <v>18750000</v>
      </c>
      <c r="H48" s="192">
        <f>F48+G48</f>
        <v>96950000</v>
      </c>
      <c r="I48" s="361">
        <f t="shared" si="12"/>
        <v>0.74576923076923074</v>
      </c>
      <c r="J48" s="24">
        <f t="shared" si="0"/>
        <v>0.74576923076923074</v>
      </c>
      <c r="K48" s="207"/>
      <c r="L48" s="175"/>
    </row>
    <row r="49" spans="1:13" s="176" customFormat="1" ht="15" customHeight="1" x14ac:dyDescent="0.25">
      <c r="A49" s="188"/>
      <c r="B49" s="177"/>
      <c r="C49" s="185" t="s">
        <v>60</v>
      </c>
      <c r="D49" s="192"/>
      <c r="E49" s="192"/>
      <c r="F49" s="192"/>
      <c r="G49" s="192"/>
      <c r="H49" s="192"/>
      <c r="I49" s="361"/>
      <c r="J49" s="236"/>
      <c r="K49" s="207"/>
      <c r="L49" s="175"/>
    </row>
    <row r="50" spans="1:13" s="176" customFormat="1" ht="15" customHeight="1" x14ac:dyDescent="0.25">
      <c r="A50" s="188"/>
      <c r="B50" s="177"/>
      <c r="C50" s="341" t="s">
        <v>692</v>
      </c>
      <c r="D50" s="191">
        <v>14990050000</v>
      </c>
      <c r="E50" s="191">
        <v>14990050000</v>
      </c>
      <c r="F50" s="191">
        <f>'Realisasi Juli'!G47</f>
        <v>1558074683.1700001</v>
      </c>
      <c r="G50" s="191">
        <v>1045843064</v>
      </c>
      <c r="H50" s="191">
        <f>F50+G50</f>
        <v>2603917747.1700001</v>
      </c>
      <c r="I50" s="359">
        <f t="shared" si="12"/>
        <v>0.1737097439414812</v>
      </c>
      <c r="J50" s="236">
        <f t="shared" si="0"/>
        <v>0.1737097439414812</v>
      </c>
      <c r="K50" s="207"/>
      <c r="L50" s="175"/>
    </row>
    <row r="51" spans="1:13" s="176" customFormat="1" ht="15" customHeight="1" x14ac:dyDescent="0.25">
      <c r="A51" s="188"/>
      <c r="B51" s="177"/>
      <c r="C51" s="166"/>
      <c r="D51" s="192"/>
      <c r="E51" s="192"/>
      <c r="F51" s="192"/>
      <c r="G51" s="192"/>
      <c r="H51" s="192"/>
      <c r="I51" s="361"/>
      <c r="J51" s="236"/>
      <c r="K51" s="207"/>
      <c r="L51" s="175"/>
    </row>
    <row r="52" spans="1:13" s="176" customFormat="1" x14ac:dyDescent="0.25">
      <c r="A52" s="168" t="s">
        <v>8</v>
      </c>
      <c r="B52" s="22" t="s">
        <v>283</v>
      </c>
      <c r="C52" s="185" t="s">
        <v>48</v>
      </c>
      <c r="D52" s="196">
        <f>SUM(D53)</f>
        <v>50000000</v>
      </c>
      <c r="E52" s="196">
        <f>SUM(E53)</f>
        <v>50000000</v>
      </c>
      <c r="F52" s="196">
        <f t="shared" ref="F52:H52" si="16">SUM(F53)</f>
        <v>20700000</v>
      </c>
      <c r="G52" s="196">
        <f t="shared" si="16"/>
        <v>2250000</v>
      </c>
      <c r="H52" s="196">
        <f t="shared" si="16"/>
        <v>22950000</v>
      </c>
      <c r="I52" s="359">
        <f>H52/D52</f>
        <v>0.45900000000000002</v>
      </c>
      <c r="J52" s="236">
        <f t="shared" si="0"/>
        <v>0.45900000000000002</v>
      </c>
      <c r="K52" s="207"/>
      <c r="L52" s="175"/>
    </row>
    <row r="53" spans="1:13" s="176" customFormat="1" x14ac:dyDescent="0.25">
      <c r="A53" s="188"/>
      <c r="B53" s="170" t="s">
        <v>285</v>
      </c>
      <c r="C53" s="185" t="s">
        <v>444</v>
      </c>
      <c r="D53" s="191">
        <f>D54</f>
        <v>50000000</v>
      </c>
      <c r="E53" s="191">
        <f>E54</f>
        <v>50000000</v>
      </c>
      <c r="F53" s="191">
        <f t="shared" ref="F53:H53" si="17">F54</f>
        <v>20700000</v>
      </c>
      <c r="G53" s="191">
        <f t="shared" si="17"/>
        <v>2250000</v>
      </c>
      <c r="H53" s="191">
        <f t="shared" si="17"/>
        <v>22950000</v>
      </c>
      <c r="I53" s="359">
        <f>H53/D53</f>
        <v>0.45900000000000002</v>
      </c>
      <c r="J53" s="236">
        <f t="shared" si="0"/>
        <v>0.45900000000000002</v>
      </c>
      <c r="K53" s="207"/>
      <c r="L53" s="175"/>
    </row>
    <row r="54" spans="1:13" s="187" customFormat="1" x14ac:dyDescent="0.25">
      <c r="A54" s="169"/>
      <c r="B54" s="170" t="s">
        <v>284</v>
      </c>
      <c r="C54" s="185" t="s">
        <v>286</v>
      </c>
      <c r="D54" s="191">
        <f>SUM(D55)</f>
        <v>50000000</v>
      </c>
      <c r="E54" s="191">
        <f>SUM(E55)</f>
        <v>50000000</v>
      </c>
      <c r="F54" s="191">
        <f t="shared" ref="F54:H54" si="18">SUM(F55)</f>
        <v>20700000</v>
      </c>
      <c r="G54" s="191">
        <f t="shared" si="18"/>
        <v>2250000</v>
      </c>
      <c r="H54" s="191">
        <f t="shared" si="18"/>
        <v>22950000</v>
      </c>
      <c r="I54" s="359">
        <f>H54/D54</f>
        <v>0.45900000000000002</v>
      </c>
      <c r="J54" s="236">
        <f t="shared" si="0"/>
        <v>0.45900000000000002</v>
      </c>
      <c r="K54" s="216"/>
      <c r="L54" s="186"/>
    </row>
    <row r="55" spans="1:13" s="176" customFormat="1" x14ac:dyDescent="0.25">
      <c r="A55" s="188"/>
      <c r="B55" s="178" t="s">
        <v>496</v>
      </c>
      <c r="C55" s="183" t="s">
        <v>497</v>
      </c>
      <c r="D55" s="192">
        <v>50000000</v>
      </c>
      <c r="E55" s="192">
        <v>50000000</v>
      </c>
      <c r="F55" s="192">
        <f>'Realisasi Juli'!G52</f>
        <v>20700000</v>
      </c>
      <c r="G55" s="192">
        <f>[1]AGUS!$D$12</f>
        <v>2250000</v>
      </c>
      <c r="H55" s="192">
        <f>F55+G55</f>
        <v>22950000</v>
      </c>
      <c r="I55" s="361">
        <f>H55/D55</f>
        <v>0.45900000000000002</v>
      </c>
      <c r="J55" s="24">
        <f t="shared" si="0"/>
        <v>0.45900000000000002</v>
      </c>
      <c r="K55" s="207" t="s">
        <v>47</v>
      </c>
      <c r="L55" s="175"/>
    </row>
    <row r="56" spans="1:13" s="176" customFormat="1" x14ac:dyDescent="0.25">
      <c r="A56" s="169"/>
      <c r="B56" s="22"/>
      <c r="C56" s="25"/>
      <c r="D56" s="192"/>
      <c r="E56" s="192"/>
      <c r="F56" s="192"/>
      <c r="G56" s="192"/>
      <c r="H56" s="191"/>
      <c r="I56" s="359"/>
      <c r="J56" s="236"/>
      <c r="K56" s="207"/>
      <c r="L56" s="175"/>
    </row>
    <row r="57" spans="1:13" s="176" customFormat="1" x14ac:dyDescent="0.25">
      <c r="A57" s="168" t="s">
        <v>49</v>
      </c>
      <c r="B57" s="22" t="s">
        <v>287</v>
      </c>
      <c r="C57" s="185" t="s">
        <v>50</v>
      </c>
      <c r="D57" s="196">
        <f t="shared" ref="D57:E59" si="19">D58</f>
        <v>750000000</v>
      </c>
      <c r="E57" s="196">
        <f t="shared" si="19"/>
        <v>750000000</v>
      </c>
      <c r="F57" s="196">
        <f t="shared" ref="F57:H59" si="20">F58</f>
        <v>421180000</v>
      </c>
      <c r="G57" s="196">
        <f t="shared" si="20"/>
        <v>51260000</v>
      </c>
      <c r="H57" s="196">
        <f t="shared" si="20"/>
        <v>472440000</v>
      </c>
      <c r="I57" s="359">
        <f>H57/D57</f>
        <v>0.62992000000000004</v>
      </c>
      <c r="J57" s="236">
        <f t="shared" si="0"/>
        <v>0.62992000000000004</v>
      </c>
      <c r="K57" s="207"/>
      <c r="L57" s="175"/>
    </row>
    <row r="58" spans="1:13" s="187" customFormat="1" x14ac:dyDescent="0.25">
      <c r="A58" s="169"/>
      <c r="B58" s="170" t="s">
        <v>288</v>
      </c>
      <c r="C58" s="185" t="s">
        <v>55</v>
      </c>
      <c r="D58" s="191">
        <f t="shared" si="19"/>
        <v>750000000</v>
      </c>
      <c r="E58" s="191">
        <f t="shared" si="19"/>
        <v>750000000</v>
      </c>
      <c r="F58" s="191">
        <f t="shared" si="20"/>
        <v>421180000</v>
      </c>
      <c r="G58" s="191">
        <f t="shared" si="20"/>
        <v>51260000</v>
      </c>
      <c r="H58" s="191">
        <f t="shared" si="20"/>
        <v>472440000</v>
      </c>
      <c r="I58" s="359">
        <f>H58/D58</f>
        <v>0.62992000000000004</v>
      </c>
      <c r="J58" s="236">
        <f t="shared" si="0"/>
        <v>0.62992000000000004</v>
      </c>
      <c r="K58" s="216" t="s">
        <v>52</v>
      </c>
      <c r="L58" s="186"/>
    </row>
    <row r="59" spans="1:13" s="176" customFormat="1" x14ac:dyDescent="0.25">
      <c r="A59" s="188"/>
      <c r="B59" s="170" t="s">
        <v>499</v>
      </c>
      <c r="C59" s="185" t="s">
        <v>51</v>
      </c>
      <c r="D59" s="191">
        <f t="shared" si="19"/>
        <v>750000000</v>
      </c>
      <c r="E59" s="191">
        <f t="shared" si="19"/>
        <v>750000000</v>
      </c>
      <c r="F59" s="191">
        <f t="shared" si="20"/>
        <v>421180000</v>
      </c>
      <c r="G59" s="191">
        <f t="shared" si="20"/>
        <v>51260000</v>
      </c>
      <c r="H59" s="191">
        <f t="shared" si="20"/>
        <v>472440000</v>
      </c>
      <c r="I59" s="359">
        <f>H59/D59</f>
        <v>0.62992000000000004</v>
      </c>
      <c r="J59" s="236">
        <f t="shared" si="0"/>
        <v>0.62992000000000004</v>
      </c>
      <c r="K59" s="207"/>
      <c r="L59" s="175"/>
    </row>
    <row r="60" spans="1:13" s="176" customFormat="1" x14ac:dyDescent="0.25">
      <c r="A60" s="188"/>
      <c r="B60" s="178" t="s">
        <v>498</v>
      </c>
      <c r="C60" s="183" t="s">
        <v>51</v>
      </c>
      <c r="D60" s="192">
        <v>750000000</v>
      </c>
      <c r="E60" s="192">
        <v>750000000</v>
      </c>
      <c r="F60" s="192">
        <f>'Realisasi Juli'!G57</f>
        <v>421180000</v>
      </c>
      <c r="G60" s="192">
        <f>[8]REKAP!$G$32</f>
        <v>51260000</v>
      </c>
      <c r="H60" s="192">
        <f>F60+G60</f>
        <v>472440000</v>
      </c>
      <c r="I60" s="361">
        <f>H60/D60</f>
        <v>0.62992000000000004</v>
      </c>
      <c r="J60" s="24">
        <f t="shared" si="0"/>
        <v>0.62992000000000004</v>
      </c>
      <c r="K60" s="207"/>
      <c r="L60" s="175"/>
      <c r="M60" s="270"/>
    </row>
    <row r="61" spans="1:13" s="176" customFormat="1" x14ac:dyDescent="0.25">
      <c r="A61" s="169"/>
      <c r="B61" s="22"/>
      <c r="C61" s="25"/>
      <c r="D61" s="191"/>
      <c r="E61" s="191"/>
      <c r="F61" s="191"/>
      <c r="G61" s="191"/>
      <c r="H61" s="191"/>
      <c r="I61" s="359"/>
      <c r="J61" s="236"/>
      <c r="K61" s="217"/>
      <c r="L61" s="175"/>
    </row>
    <row r="62" spans="1:13" s="176" customFormat="1" x14ac:dyDescent="0.25">
      <c r="A62" s="168" t="s">
        <v>53</v>
      </c>
      <c r="B62" s="22" t="s">
        <v>289</v>
      </c>
      <c r="C62" s="185" t="s">
        <v>54</v>
      </c>
      <c r="D62" s="196">
        <f>D63+D68+D75</f>
        <v>30000000000</v>
      </c>
      <c r="E62" s="196">
        <f>E63+E68+E75</f>
        <v>30000000000</v>
      </c>
      <c r="F62" s="196">
        <f t="shared" ref="F62:H62" si="21">F63+F68+F75</f>
        <v>12908909000</v>
      </c>
      <c r="G62" s="196">
        <f t="shared" si="21"/>
        <v>2202827800</v>
      </c>
      <c r="H62" s="196">
        <f t="shared" si="21"/>
        <v>15111736800</v>
      </c>
      <c r="I62" s="359">
        <f t="shared" ref="I62:I77" si="22">H62/D62</f>
        <v>0.50372455999999999</v>
      </c>
      <c r="J62" s="236">
        <f t="shared" si="0"/>
        <v>0.50372455999999999</v>
      </c>
      <c r="K62" s="209"/>
      <c r="L62" s="175"/>
    </row>
    <row r="63" spans="1:13" s="187" customFormat="1" x14ac:dyDescent="0.25">
      <c r="A63" s="169" t="s">
        <v>413</v>
      </c>
      <c r="B63" s="170" t="s">
        <v>288</v>
      </c>
      <c r="C63" s="185" t="s">
        <v>55</v>
      </c>
      <c r="D63" s="191">
        <f>D64+D66</f>
        <v>1829475000</v>
      </c>
      <c r="E63" s="191">
        <f>E64+E66</f>
        <v>1829475000</v>
      </c>
      <c r="F63" s="191">
        <f t="shared" ref="F63:H63" si="23">F64+F66</f>
        <v>310680750</v>
      </c>
      <c r="G63" s="191">
        <f t="shared" si="23"/>
        <v>27183800</v>
      </c>
      <c r="H63" s="191">
        <f t="shared" si="23"/>
        <v>337864550</v>
      </c>
      <c r="I63" s="359">
        <f t="shared" si="22"/>
        <v>0.18467841867202339</v>
      </c>
      <c r="J63" s="236">
        <f t="shared" si="0"/>
        <v>0.18467841867202339</v>
      </c>
      <c r="K63" s="207"/>
      <c r="L63" s="186"/>
    </row>
    <row r="64" spans="1:13" s="187" customFormat="1" x14ac:dyDescent="0.25">
      <c r="A64" s="169"/>
      <c r="B64" s="170" t="s">
        <v>290</v>
      </c>
      <c r="C64" s="185" t="s">
        <v>56</v>
      </c>
      <c r="D64" s="191">
        <f>D65</f>
        <v>1000000000</v>
      </c>
      <c r="E64" s="191">
        <f>E65</f>
        <v>1000000000</v>
      </c>
      <c r="F64" s="191">
        <f t="shared" ref="F64:H64" si="24">F65</f>
        <v>236360000</v>
      </c>
      <c r="G64" s="191">
        <f t="shared" si="24"/>
        <v>8100000</v>
      </c>
      <c r="H64" s="191">
        <f t="shared" si="24"/>
        <v>244460000</v>
      </c>
      <c r="I64" s="359">
        <f t="shared" si="22"/>
        <v>0.24446000000000001</v>
      </c>
      <c r="J64" s="236">
        <f t="shared" si="0"/>
        <v>0.24446000000000001</v>
      </c>
      <c r="K64" s="207"/>
      <c r="L64" s="186"/>
    </row>
    <row r="65" spans="1:12" s="176" customFormat="1" x14ac:dyDescent="0.25">
      <c r="A65" s="188"/>
      <c r="B65" s="178" t="s">
        <v>500</v>
      </c>
      <c r="C65" s="183" t="s">
        <v>56</v>
      </c>
      <c r="D65" s="192">
        <v>1000000000</v>
      </c>
      <c r="E65" s="192">
        <v>1000000000</v>
      </c>
      <c r="F65" s="192">
        <f>'Realisasi Juli'!G62</f>
        <v>236360000</v>
      </c>
      <c r="G65" s="192">
        <v>8100000</v>
      </c>
      <c r="H65" s="192">
        <f>F65+G65</f>
        <v>244460000</v>
      </c>
      <c r="I65" s="361">
        <f t="shared" si="22"/>
        <v>0.24446000000000001</v>
      </c>
      <c r="J65" s="24">
        <f t="shared" si="0"/>
        <v>0.24446000000000001</v>
      </c>
      <c r="K65" s="207" t="s">
        <v>57</v>
      </c>
      <c r="L65" s="175"/>
    </row>
    <row r="66" spans="1:12" s="176" customFormat="1" x14ac:dyDescent="0.25">
      <c r="A66" s="188"/>
      <c r="B66" s="170" t="s">
        <v>291</v>
      </c>
      <c r="C66" s="185" t="s">
        <v>292</v>
      </c>
      <c r="D66" s="191">
        <f>D67</f>
        <v>829475000</v>
      </c>
      <c r="E66" s="191">
        <f>E67</f>
        <v>829475000</v>
      </c>
      <c r="F66" s="191">
        <f t="shared" ref="F66:H66" si="25">F67</f>
        <v>74320750</v>
      </c>
      <c r="G66" s="191">
        <f t="shared" si="25"/>
        <v>19083800</v>
      </c>
      <c r="H66" s="191">
        <f t="shared" si="25"/>
        <v>93404550</v>
      </c>
      <c r="I66" s="359">
        <f t="shared" si="22"/>
        <v>0.1126068296211459</v>
      </c>
      <c r="J66" s="236">
        <f t="shared" si="0"/>
        <v>0.1126068296211459</v>
      </c>
      <c r="K66" s="207"/>
      <c r="L66" s="175"/>
    </row>
    <row r="67" spans="1:12" s="187" customFormat="1" ht="22.5" customHeight="1" x14ac:dyDescent="0.25">
      <c r="A67" s="169"/>
      <c r="B67" s="178" t="s">
        <v>501</v>
      </c>
      <c r="C67" s="183" t="s">
        <v>292</v>
      </c>
      <c r="D67" s="192">
        <v>829475000</v>
      </c>
      <c r="E67" s="192">
        <v>829475000</v>
      </c>
      <c r="F67" s="192">
        <f>'Realisasi Juli'!G64</f>
        <v>74320750</v>
      </c>
      <c r="G67" s="192">
        <v>19083800</v>
      </c>
      <c r="H67" s="192">
        <f>F67+G67</f>
        <v>93404550</v>
      </c>
      <c r="I67" s="361">
        <f t="shared" si="22"/>
        <v>0.1126068296211459</v>
      </c>
      <c r="J67" s="24">
        <f t="shared" si="0"/>
        <v>0.1126068296211459</v>
      </c>
      <c r="K67" s="207" t="s">
        <v>58</v>
      </c>
      <c r="L67" s="186"/>
    </row>
    <row r="68" spans="1:12" s="176" customFormat="1" x14ac:dyDescent="0.25">
      <c r="A68" s="169" t="s">
        <v>414</v>
      </c>
      <c r="B68" s="170" t="s">
        <v>285</v>
      </c>
      <c r="C68" s="185" t="s">
        <v>444</v>
      </c>
      <c r="D68" s="191">
        <f>D69+D71+D73</f>
        <v>28168525000</v>
      </c>
      <c r="E68" s="191">
        <f>E69+E71+E73</f>
        <v>28168525000</v>
      </c>
      <c r="F68" s="191">
        <f t="shared" ref="F68:H68" si="26">F69+F71+F73</f>
        <v>12598228250</v>
      </c>
      <c r="G68" s="191">
        <f t="shared" si="26"/>
        <v>2175594000</v>
      </c>
      <c r="H68" s="191">
        <f t="shared" si="26"/>
        <v>14773822250</v>
      </c>
      <c r="I68" s="359">
        <f t="shared" si="22"/>
        <v>0.5244797961554607</v>
      </c>
      <c r="J68" s="236">
        <f t="shared" si="0"/>
        <v>0.5244797961554607</v>
      </c>
      <c r="K68" s="207" t="s">
        <v>59</v>
      </c>
      <c r="L68" s="175"/>
    </row>
    <row r="69" spans="1:12" s="176" customFormat="1" x14ac:dyDescent="0.25">
      <c r="A69" s="169"/>
      <c r="B69" s="170" t="s">
        <v>293</v>
      </c>
      <c r="C69" s="185" t="s">
        <v>502</v>
      </c>
      <c r="D69" s="191">
        <f>D70</f>
        <v>74722500</v>
      </c>
      <c r="E69" s="191">
        <f>E70</f>
        <v>74722500</v>
      </c>
      <c r="F69" s="191">
        <f t="shared" ref="F69:H69" si="27">F70</f>
        <v>76764000</v>
      </c>
      <c r="G69" s="191">
        <f t="shared" si="27"/>
        <v>15778000</v>
      </c>
      <c r="H69" s="191">
        <f t="shared" si="27"/>
        <v>92542000</v>
      </c>
      <c r="I69" s="359">
        <f t="shared" si="22"/>
        <v>1.2384756933989094</v>
      </c>
      <c r="J69" s="236">
        <f t="shared" si="0"/>
        <v>1.2384756933989094</v>
      </c>
      <c r="K69" s="207"/>
      <c r="L69" s="175"/>
    </row>
    <row r="70" spans="1:12" s="176" customFormat="1" x14ac:dyDescent="0.25">
      <c r="A70" s="188"/>
      <c r="B70" s="178" t="s">
        <v>503</v>
      </c>
      <c r="C70" s="183" t="s">
        <v>504</v>
      </c>
      <c r="D70" s="192">
        <v>74722500</v>
      </c>
      <c r="E70" s="192">
        <v>74722500</v>
      </c>
      <c r="F70" s="192">
        <f>'Realisasi Juli'!G67</f>
        <v>76764000</v>
      </c>
      <c r="G70" s="192">
        <v>15778000</v>
      </c>
      <c r="H70" s="192">
        <f>F70+G70</f>
        <v>92542000</v>
      </c>
      <c r="I70" s="361">
        <f t="shared" si="22"/>
        <v>1.2384756933989094</v>
      </c>
      <c r="J70" s="24">
        <f t="shared" si="0"/>
        <v>1.2384756933989094</v>
      </c>
      <c r="K70" s="207"/>
      <c r="L70" s="175"/>
    </row>
    <row r="71" spans="1:12" s="176" customFormat="1" x14ac:dyDescent="0.25">
      <c r="A71" s="169"/>
      <c r="B71" s="170" t="s">
        <v>294</v>
      </c>
      <c r="C71" s="185" t="s">
        <v>295</v>
      </c>
      <c r="D71" s="191">
        <f>D72</f>
        <v>27808802500</v>
      </c>
      <c r="E71" s="191">
        <f>E72</f>
        <v>27808802500</v>
      </c>
      <c r="F71" s="191">
        <f t="shared" ref="F71:H71" si="28">F72</f>
        <v>12473567700</v>
      </c>
      <c r="G71" s="191">
        <f t="shared" si="28"/>
        <v>2142679000</v>
      </c>
      <c r="H71" s="191">
        <f t="shared" si="28"/>
        <v>14616246700</v>
      </c>
      <c r="I71" s="359">
        <f t="shared" si="22"/>
        <v>0.5255978462215336</v>
      </c>
      <c r="J71" s="236">
        <f t="shared" si="0"/>
        <v>0.5255978462215336</v>
      </c>
      <c r="K71" s="218"/>
      <c r="L71" s="175"/>
    </row>
    <row r="72" spans="1:12" s="176" customFormat="1" x14ac:dyDescent="0.25">
      <c r="A72" s="188"/>
      <c r="B72" s="178" t="s">
        <v>505</v>
      </c>
      <c r="C72" s="183" t="s">
        <v>295</v>
      </c>
      <c r="D72" s="192">
        <v>27808802500</v>
      </c>
      <c r="E72" s="192">
        <v>27808802500</v>
      </c>
      <c r="F72" s="192">
        <f>'Realisasi Juli'!G69</f>
        <v>12473567700</v>
      </c>
      <c r="G72" s="192">
        <v>2142679000</v>
      </c>
      <c r="H72" s="192">
        <f>F72+G72</f>
        <v>14616246700</v>
      </c>
      <c r="I72" s="361">
        <f t="shared" si="22"/>
        <v>0.5255978462215336</v>
      </c>
      <c r="J72" s="24">
        <f t="shared" si="0"/>
        <v>0.5255978462215336</v>
      </c>
      <c r="K72" s="218"/>
      <c r="L72" s="175"/>
    </row>
    <row r="73" spans="1:12" s="176" customFormat="1" x14ac:dyDescent="0.25">
      <c r="A73" s="188"/>
      <c r="B73" s="170" t="s">
        <v>296</v>
      </c>
      <c r="C73" s="185" t="s">
        <v>297</v>
      </c>
      <c r="D73" s="191">
        <f>SUM(D74)</f>
        <v>285000000</v>
      </c>
      <c r="E73" s="191">
        <f>SUM(E74)</f>
        <v>285000000</v>
      </c>
      <c r="F73" s="191">
        <f t="shared" ref="F73:H73" si="29">SUM(F74)</f>
        <v>47896550</v>
      </c>
      <c r="G73" s="191">
        <f t="shared" si="29"/>
        <v>17137000</v>
      </c>
      <c r="H73" s="191">
        <f t="shared" si="29"/>
        <v>65033550</v>
      </c>
      <c r="I73" s="361">
        <f t="shared" si="22"/>
        <v>0.22818789473684212</v>
      </c>
      <c r="J73" s="24">
        <f t="shared" si="0"/>
        <v>0.22818789473684212</v>
      </c>
      <c r="K73" s="218"/>
      <c r="L73" s="175"/>
    </row>
    <row r="74" spans="1:12" s="176" customFormat="1" x14ac:dyDescent="0.25">
      <c r="A74" s="188"/>
      <c r="B74" s="178" t="s">
        <v>506</v>
      </c>
      <c r="C74" s="183" t="s">
        <v>297</v>
      </c>
      <c r="D74" s="192">
        <v>285000000</v>
      </c>
      <c r="E74" s="192">
        <v>285000000</v>
      </c>
      <c r="F74" s="192">
        <f>'Realisasi Juli'!G71</f>
        <v>47896550</v>
      </c>
      <c r="G74" s="192">
        <v>17137000</v>
      </c>
      <c r="H74" s="192">
        <f>F74+G74</f>
        <v>65033550</v>
      </c>
      <c r="I74" s="361">
        <f t="shared" si="22"/>
        <v>0.22818789473684212</v>
      </c>
      <c r="J74" s="24">
        <f t="shared" si="0"/>
        <v>0.22818789473684212</v>
      </c>
      <c r="K74" s="218"/>
      <c r="L74" s="175"/>
    </row>
    <row r="75" spans="1:12" s="176" customFormat="1" x14ac:dyDescent="0.25">
      <c r="A75" s="169" t="s">
        <v>415</v>
      </c>
      <c r="B75" s="170" t="s">
        <v>298</v>
      </c>
      <c r="C75" s="185" t="s">
        <v>60</v>
      </c>
      <c r="D75" s="191">
        <f>SUM(D76)</f>
        <v>2000000</v>
      </c>
      <c r="E75" s="191">
        <f>SUM(E76)</f>
        <v>2000000</v>
      </c>
      <c r="F75" s="191"/>
      <c r="G75" s="191">
        <f t="shared" ref="G75:H75" si="30">SUM(G76)</f>
        <v>50000</v>
      </c>
      <c r="H75" s="191">
        <f t="shared" si="30"/>
        <v>50000</v>
      </c>
      <c r="I75" s="359">
        <f t="shared" si="22"/>
        <v>2.5000000000000001E-2</v>
      </c>
      <c r="J75" s="236">
        <f t="shared" si="0"/>
        <v>2.5000000000000001E-2</v>
      </c>
      <c r="K75" s="207" t="s">
        <v>61</v>
      </c>
      <c r="L75" s="175"/>
    </row>
    <row r="76" spans="1:12" s="187" customFormat="1" x14ac:dyDescent="0.25">
      <c r="A76" s="169"/>
      <c r="B76" s="170" t="s">
        <v>299</v>
      </c>
      <c r="C76" s="185" t="s">
        <v>300</v>
      </c>
      <c r="D76" s="191">
        <f>D77</f>
        <v>2000000</v>
      </c>
      <c r="E76" s="191">
        <f>E77</f>
        <v>2000000</v>
      </c>
      <c r="F76" s="191"/>
      <c r="G76" s="191">
        <f t="shared" ref="G76:H76" si="31">G77</f>
        <v>50000</v>
      </c>
      <c r="H76" s="191">
        <f t="shared" si="31"/>
        <v>50000</v>
      </c>
      <c r="I76" s="359">
        <f t="shared" si="22"/>
        <v>2.5000000000000001E-2</v>
      </c>
      <c r="J76" s="236">
        <f t="shared" si="0"/>
        <v>2.5000000000000001E-2</v>
      </c>
      <c r="K76" s="263"/>
      <c r="L76" s="186"/>
    </row>
    <row r="77" spans="1:12" s="176" customFormat="1" x14ac:dyDescent="0.25">
      <c r="A77" s="188"/>
      <c r="B77" s="178" t="s">
        <v>507</v>
      </c>
      <c r="C77" s="183" t="s">
        <v>300</v>
      </c>
      <c r="D77" s="192">
        <v>2000000</v>
      </c>
      <c r="E77" s="192">
        <v>2000000</v>
      </c>
      <c r="F77" s="192">
        <f>'Realisasi Juli'!G74</f>
        <v>0</v>
      </c>
      <c r="G77" s="192">
        <v>50000</v>
      </c>
      <c r="H77" s="192">
        <f>F77+G77</f>
        <v>50000</v>
      </c>
      <c r="I77" s="361">
        <f t="shared" si="22"/>
        <v>2.5000000000000001E-2</v>
      </c>
      <c r="J77" s="24">
        <f t="shared" si="0"/>
        <v>2.5000000000000001E-2</v>
      </c>
      <c r="K77" s="219"/>
      <c r="L77" s="175"/>
    </row>
    <row r="78" spans="1:12" s="176" customFormat="1" x14ac:dyDescent="0.25">
      <c r="A78" s="188"/>
      <c r="B78" s="178"/>
      <c r="C78" s="183"/>
      <c r="D78" s="192"/>
      <c r="E78" s="192"/>
      <c r="F78" s="192"/>
      <c r="G78" s="192"/>
      <c r="H78" s="191"/>
      <c r="I78" s="359"/>
      <c r="J78" s="236"/>
      <c r="K78" s="220"/>
      <c r="L78" s="175"/>
    </row>
    <row r="79" spans="1:12" s="176" customFormat="1" x14ac:dyDescent="0.25">
      <c r="A79" s="168" t="s">
        <v>62</v>
      </c>
      <c r="B79" s="22" t="s">
        <v>301</v>
      </c>
      <c r="C79" s="185" t="s">
        <v>63</v>
      </c>
      <c r="D79" s="191">
        <f t="shared" ref="D79:H81" si="32">D80</f>
        <v>25000000</v>
      </c>
      <c r="E79" s="191">
        <f t="shared" si="32"/>
        <v>25000000</v>
      </c>
      <c r="F79" s="191">
        <f t="shared" si="32"/>
        <v>15287000</v>
      </c>
      <c r="G79" s="191">
        <f t="shared" si="32"/>
        <v>1742600</v>
      </c>
      <c r="H79" s="191">
        <f t="shared" si="32"/>
        <v>17029600</v>
      </c>
      <c r="I79" s="359">
        <f>H79/D79</f>
        <v>0.68118400000000001</v>
      </c>
      <c r="J79" s="236">
        <f t="shared" ref="J79:J139" si="33">H79/E79</f>
        <v>0.68118400000000001</v>
      </c>
      <c r="K79" s="209"/>
      <c r="L79" s="175"/>
    </row>
    <row r="80" spans="1:12" s="187" customFormat="1" x14ac:dyDescent="0.25">
      <c r="A80" s="169"/>
      <c r="B80" s="170" t="s">
        <v>285</v>
      </c>
      <c r="C80" s="185" t="s">
        <v>444</v>
      </c>
      <c r="D80" s="191">
        <f t="shared" si="32"/>
        <v>25000000</v>
      </c>
      <c r="E80" s="191">
        <f t="shared" si="32"/>
        <v>25000000</v>
      </c>
      <c r="F80" s="191">
        <f t="shared" si="32"/>
        <v>15287000</v>
      </c>
      <c r="G80" s="191">
        <f t="shared" si="32"/>
        <v>1742600</v>
      </c>
      <c r="H80" s="191">
        <f t="shared" si="32"/>
        <v>17029600</v>
      </c>
      <c r="I80" s="359">
        <f>H80/D80</f>
        <v>0.68118400000000001</v>
      </c>
      <c r="J80" s="236">
        <f t="shared" si="33"/>
        <v>0.68118400000000001</v>
      </c>
      <c r="K80" s="216"/>
      <c r="L80" s="186"/>
    </row>
    <row r="81" spans="1:12" s="187" customFormat="1" x14ac:dyDescent="0.25">
      <c r="A81" s="169"/>
      <c r="B81" s="170" t="s">
        <v>302</v>
      </c>
      <c r="C81" s="185" t="s">
        <v>64</v>
      </c>
      <c r="D81" s="191">
        <f>D82</f>
        <v>25000000</v>
      </c>
      <c r="E81" s="191">
        <f>E82</f>
        <v>25000000</v>
      </c>
      <c r="F81" s="191">
        <f t="shared" si="32"/>
        <v>15287000</v>
      </c>
      <c r="G81" s="191">
        <f t="shared" si="32"/>
        <v>1742600</v>
      </c>
      <c r="H81" s="191">
        <f t="shared" si="32"/>
        <v>17029600</v>
      </c>
      <c r="I81" s="359">
        <f>H81/D81</f>
        <v>0.68118400000000001</v>
      </c>
      <c r="J81" s="236">
        <f t="shared" si="33"/>
        <v>0.68118400000000001</v>
      </c>
      <c r="K81" s="216"/>
      <c r="L81" s="186"/>
    </row>
    <row r="82" spans="1:12" s="176" customFormat="1" x14ac:dyDescent="0.25">
      <c r="A82" s="27"/>
      <c r="B82" s="178" t="s">
        <v>508</v>
      </c>
      <c r="C82" s="28" t="s">
        <v>509</v>
      </c>
      <c r="D82" s="192">
        <v>25000000</v>
      </c>
      <c r="E82" s="192">
        <v>25000000</v>
      </c>
      <c r="F82" s="192">
        <f>'Realisasi Juli'!G79</f>
        <v>15287000</v>
      </c>
      <c r="G82" s="192">
        <f>'[5]2022'!$G$53</f>
        <v>1742600</v>
      </c>
      <c r="H82" s="192">
        <f>F82+G82</f>
        <v>17029600</v>
      </c>
      <c r="I82" s="361">
        <f>H82/D82</f>
        <v>0.68118400000000001</v>
      </c>
      <c r="J82" s="236">
        <f t="shared" si="33"/>
        <v>0.68118400000000001</v>
      </c>
      <c r="K82" s="207" t="s">
        <v>65</v>
      </c>
      <c r="L82" s="175"/>
    </row>
    <row r="83" spans="1:12" s="176" customFormat="1" x14ac:dyDescent="0.25">
      <c r="A83" s="27"/>
      <c r="B83" s="178"/>
      <c r="C83" s="171"/>
      <c r="D83" s="192"/>
      <c r="E83" s="192"/>
      <c r="F83" s="192"/>
      <c r="G83" s="192"/>
      <c r="H83" s="191"/>
      <c r="I83" s="359"/>
      <c r="J83" s="236"/>
      <c r="K83" s="207"/>
      <c r="L83" s="175"/>
    </row>
    <row r="84" spans="1:12" s="176" customFormat="1" x14ac:dyDescent="0.25">
      <c r="A84" s="168" t="s">
        <v>66</v>
      </c>
      <c r="B84" s="22" t="s">
        <v>303</v>
      </c>
      <c r="C84" s="185" t="s">
        <v>67</v>
      </c>
      <c r="D84" s="196">
        <f>SUM(D85)</f>
        <v>0</v>
      </c>
      <c r="E84" s="196">
        <f>SUM(E85)</f>
        <v>0</v>
      </c>
      <c r="F84" s="196"/>
      <c r="G84" s="196">
        <f t="shared" ref="G84:H84" si="34">SUM(G85)</f>
        <v>0</v>
      </c>
      <c r="H84" s="196">
        <f t="shared" si="34"/>
        <v>0</v>
      </c>
      <c r="I84" s="359" t="e">
        <f t="shared" ref="I84:I89" si="35">H84/D84</f>
        <v>#DIV/0!</v>
      </c>
      <c r="J84" s="236" t="e">
        <f t="shared" si="33"/>
        <v>#DIV/0!</v>
      </c>
      <c r="K84" s="209"/>
      <c r="L84" s="175"/>
    </row>
    <row r="85" spans="1:12" s="176" customFormat="1" x14ac:dyDescent="0.25">
      <c r="A85" s="27"/>
      <c r="B85" s="170" t="s">
        <v>298</v>
      </c>
      <c r="C85" s="185" t="s">
        <v>60</v>
      </c>
      <c r="D85" s="191">
        <f>D86+D88</f>
        <v>0</v>
      </c>
      <c r="E85" s="191">
        <f>E86+E88</f>
        <v>0</v>
      </c>
      <c r="F85" s="191"/>
      <c r="G85" s="191">
        <f t="shared" ref="G85:H85" si="36">G86+G88</f>
        <v>0</v>
      </c>
      <c r="H85" s="191">
        <f t="shared" si="36"/>
        <v>0</v>
      </c>
      <c r="I85" s="359" t="e">
        <f t="shared" si="35"/>
        <v>#DIV/0!</v>
      </c>
      <c r="J85" s="236" t="e">
        <f t="shared" si="33"/>
        <v>#DIV/0!</v>
      </c>
      <c r="K85" s="207"/>
      <c r="L85" s="175"/>
    </row>
    <row r="86" spans="1:12" s="187" customFormat="1" x14ac:dyDescent="0.25">
      <c r="A86" s="264"/>
      <c r="B86" s="170" t="s">
        <v>304</v>
      </c>
      <c r="C86" s="185" t="s">
        <v>68</v>
      </c>
      <c r="D86" s="191">
        <f>D87</f>
        <v>0</v>
      </c>
      <c r="E86" s="191"/>
      <c r="F86" s="191"/>
      <c r="G86" s="191">
        <f t="shared" ref="G86:H86" si="37">G87</f>
        <v>0</v>
      </c>
      <c r="H86" s="191">
        <f t="shared" si="37"/>
        <v>0</v>
      </c>
      <c r="I86" s="359" t="e">
        <f t="shared" si="35"/>
        <v>#DIV/0!</v>
      </c>
      <c r="J86" s="236" t="e">
        <f t="shared" si="33"/>
        <v>#DIV/0!</v>
      </c>
      <c r="K86" s="216" t="s">
        <v>69</v>
      </c>
      <c r="L86" s="186"/>
    </row>
    <row r="87" spans="1:12" s="176" customFormat="1" x14ac:dyDescent="0.25">
      <c r="A87" s="27"/>
      <c r="B87" s="178" t="s">
        <v>510</v>
      </c>
      <c r="C87" s="183" t="s">
        <v>68</v>
      </c>
      <c r="D87" s="192">
        <v>0</v>
      </c>
      <c r="E87" s="192"/>
      <c r="F87" s="192">
        <f>'Realisasi Juli'!G84</f>
        <v>0</v>
      </c>
      <c r="G87" s="192"/>
      <c r="H87" s="192">
        <f>F87+G87</f>
        <v>0</v>
      </c>
      <c r="I87" s="361"/>
      <c r="J87" s="236"/>
      <c r="K87" s="207" t="s">
        <v>69</v>
      </c>
      <c r="L87" s="175"/>
    </row>
    <row r="88" spans="1:12" s="187" customFormat="1" x14ac:dyDescent="0.25">
      <c r="A88" s="264"/>
      <c r="B88" s="170" t="s">
        <v>305</v>
      </c>
      <c r="C88" s="185" t="s">
        <v>70</v>
      </c>
      <c r="D88" s="191">
        <f>D89</f>
        <v>0</v>
      </c>
      <c r="E88" s="191">
        <f>E89</f>
        <v>0</v>
      </c>
      <c r="F88" s="191"/>
      <c r="G88" s="191">
        <f t="shared" ref="G88:H88" si="38">G89</f>
        <v>0</v>
      </c>
      <c r="H88" s="191">
        <f t="shared" si="38"/>
        <v>0</v>
      </c>
      <c r="I88" s="359" t="e">
        <f t="shared" si="35"/>
        <v>#DIV/0!</v>
      </c>
      <c r="J88" s="236" t="e">
        <f t="shared" si="33"/>
        <v>#DIV/0!</v>
      </c>
      <c r="K88" s="216" t="s">
        <v>71</v>
      </c>
      <c r="L88" s="186"/>
    </row>
    <row r="89" spans="1:12" s="176" customFormat="1" x14ac:dyDescent="0.25">
      <c r="A89" s="27"/>
      <c r="B89" s="178" t="s">
        <v>511</v>
      </c>
      <c r="C89" s="183" t="s">
        <v>70</v>
      </c>
      <c r="D89" s="192">
        <v>0</v>
      </c>
      <c r="E89" s="192">
        <v>0</v>
      </c>
      <c r="F89" s="192">
        <f>'Realisasi Juli'!G86</f>
        <v>0</v>
      </c>
      <c r="G89" s="192"/>
      <c r="H89" s="192">
        <f>F89+G89</f>
        <v>0</v>
      </c>
      <c r="I89" s="361" t="e">
        <f t="shared" si="35"/>
        <v>#DIV/0!</v>
      </c>
      <c r="J89" s="24" t="e">
        <f t="shared" si="33"/>
        <v>#DIV/0!</v>
      </c>
      <c r="K89" s="207" t="s">
        <v>71</v>
      </c>
      <c r="L89" s="175"/>
    </row>
    <row r="90" spans="1:12" s="176" customFormat="1" x14ac:dyDescent="0.25">
      <c r="A90" s="27"/>
      <c r="B90" s="178"/>
      <c r="C90" s="183"/>
      <c r="D90" s="192"/>
      <c r="E90" s="192"/>
      <c r="F90" s="192"/>
      <c r="G90" s="192"/>
      <c r="H90" s="191"/>
      <c r="I90" s="359"/>
      <c r="J90" s="236"/>
      <c r="K90" s="207"/>
      <c r="L90" s="175"/>
    </row>
    <row r="91" spans="1:12" s="176" customFormat="1" ht="24" customHeight="1" x14ac:dyDescent="0.25">
      <c r="A91" s="29" t="s">
        <v>73</v>
      </c>
      <c r="B91" s="22" t="s">
        <v>307</v>
      </c>
      <c r="C91" s="185" t="s">
        <v>82</v>
      </c>
      <c r="D91" s="196">
        <f>D92</f>
        <v>25440000</v>
      </c>
      <c r="E91" s="196">
        <f>E92</f>
        <v>25440000</v>
      </c>
      <c r="F91" s="196">
        <f t="shared" ref="F91:H91" si="39">F92</f>
        <v>11900000</v>
      </c>
      <c r="G91" s="196">
        <f t="shared" si="39"/>
        <v>1300000</v>
      </c>
      <c r="H91" s="196">
        <f t="shared" si="39"/>
        <v>13200000</v>
      </c>
      <c r="I91" s="359">
        <f>H91/D91</f>
        <v>0.51886792452830188</v>
      </c>
      <c r="J91" s="236">
        <f t="shared" si="33"/>
        <v>0.51886792452830188</v>
      </c>
      <c r="K91" s="209"/>
      <c r="L91" s="175"/>
    </row>
    <row r="92" spans="1:12" s="187" customFormat="1" x14ac:dyDescent="0.25">
      <c r="A92" s="169"/>
      <c r="B92" s="170" t="s">
        <v>285</v>
      </c>
      <c r="C92" s="185" t="s">
        <v>444</v>
      </c>
      <c r="D92" s="191">
        <f>D94</f>
        <v>25440000</v>
      </c>
      <c r="E92" s="191">
        <f>E94</f>
        <v>25440000</v>
      </c>
      <c r="F92" s="191">
        <f t="shared" ref="F92:G92" si="40">F94</f>
        <v>11900000</v>
      </c>
      <c r="G92" s="191">
        <f t="shared" si="40"/>
        <v>1300000</v>
      </c>
      <c r="H92" s="191">
        <f>H94</f>
        <v>13200000</v>
      </c>
      <c r="I92" s="359">
        <f>H92/D92</f>
        <v>0.51886792452830188</v>
      </c>
      <c r="J92" s="236">
        <f t="shared" si="33"/>
        <v>0.51886792452830188</v>
      </c>
      <c r="K92" s="207" t="s">
        <v>83</v>
      </c>
      <c r="L92" s="186"/>
    </row>
    <row r="93" spans="1:12" s="187" customFormat="1" x14ac:dyDescent="0.25">
      <c r="A93" s="169"/>
      <c r="B93" s="170" t="s">
        <v>308</v>
      </c>
      <c r="C93" s="172" t="s">
        <v>309</v>
      </c>
      <c r="D93" s="191">
        <f>D94</f>
        <v>25440000</v>
      </c>
      <c r="E93" s="191">
        <f>E94</f>
        <v>25440000</v>
      </c>
      <c r="F93" s="191">
        <f t="shared" ref="F93:H93" si="41">F94</f>
        <v>11900000</v>
      </c>
      <c r="G93" s="191">
        <f t="shared" si="41"/>
        <v>1300000</v>
      </c>
      <c r="H93" s="191">
        <f t="shared" si="41"/>
        <v>13200000</v>
      </c>
      <c r="I93" s="359">
        <f>H93/D93</f>
        <v>0.51886792452830188</v>
      </c>
      <c r="J93" s="236">
        <f t="shared" si="33"/>
        <v>0.51886792452830188</v>
      </c>
      <c r="K93" s="216"/>
      <c r="L93" s="186"/>
    </row>
    <row r="94" spans="1:12" s="176" customFormat="1" x14ac:dyDescent="0.25">
      <c r="A94" s="188"/>
      <c r="B94" s="178" t="s">
        <v>512</v>
      </c>
      <c r="C94" s="171" t="s">
        <v>309</v>
      </c>
      <c r="D94" s="192">
        <v>25440000</v>
      </c>
      <c r="E94" s="192">
        <v>25440000</v>
      </c>
      <c r="F94" s="192">
        <f>'Realisasi Juli'!G91</f>
        <v>11900000</v>
      </c>
      <c r="G94" s="192">
        <f>'[9]2022'!$G$45</f>
        <v>1300000</v>
      </c>
      <c r="H94" s="192">
        <f>F94+G94</f>
        <v>13200000</v>
      </c>
      <c r="I94" s="361">
        <f>H94/D94</f>
        <v>0.51886792452830188</v>
      </c>
      <c r="J94" s="24">
        <f t="shared" si="33"/>
        <v>0.51886792452830188</v>
      </c>
      <c r="K94" s="207"/>
      <c r="L94" s="175"/>
    </row>
    <row r="95" spans="1:12" s="176" customFormat="1" x14ac:dyDescent="0.25">
      <c r="A95" s="169"/>
      <c r="B95" s="22"/>
      <c r="C95" s="25"/>
      <c r="D95" s="192"/>
      <c r="E95" s="192"/>
      <c r="F95" s="192"/>
      <c r="G95" s="192"/>
      <c r="H95" s="191"/>
      <c r="I95" s="359"/>
      <c r="J95" s="236"/>
      <c r="K95" s="221"/>
      <c r="L95" s="175"/>
    </row>
    <row r="96" spans="1:12" s="176" customFormat="1" ht="24.75" customHeight="1" x14ac:dyDescent="0.25">
      <c r="A96" s="29" t="s">
        <v>74</v>
      </c>
      <c r="B96" s="22" t="s">
        <v>310</v>
      </c>
      <c r="C96" s="185" t="s">
        <v>682</v>
      </c>
      <c r="D96" s="196">
        <f t="shared" ref="D96:E98" si="42">D97</f>
        <v>1000000000</v>
      </c>
      <c r="E96" s="196">
        <f t="shared" si="42"/>
        <v>1000000000</v>
      </c>
      <c r="F96" s="196"/>
      <c r="G96" s="196">
        <f t="shared" ref="G96:H98" si="43">G97</f>
        <v>2597100</v>
      </c>
      <c r="H96" s="196">
        <f t="shared" si="43"/>
        <v>2597100</v>
      </c>
      <c r="I96" s="359">
        <f>H96/D96</f>
        <v>2.5971000000000002E-3</v>
      </c>
      <c r="J96" s="236">
        <f t="shared" si="33"/>
        <v>2.5971000000000002E-3</v>
      </c>
      <c r="K96" s="207"/>
      <c r="L96" s="175"/>
    </row>
    <row r="97" spans="1:13" s="187" customFormat="1" x14ac:dyDescent="0.25">
      <c r="A97" s="169"/>
      <c r="B97" s="170" t="s">
        <v>288</v>
      </c>
      <c r="C97" s="185" t="s">
        <v>55</v>
      </c>
      <c r="D97" s="191">
        <f t="shared" si="42"/>
        <v>1000000000</v>
      </c>
      <c r="E97" s="191">
        <f t="shared" si="42"/>
        <v>1000000000</v>
      </c>
      <c r="F97" s="191"/>
      <c r="G97" s="191">
        <f t="shared" si="43"/>
        <v>2597100</v>
      </c>
      <c r="H97" s="191">
        <f t="shared" si="43"/>
        <v>2597100</v>
      </c>
      <c r="I97" s="359">
        <f>H97/D97</f>
        <v>2.5971000000000002E-3</v>
      </c>
      <c r="J97" s="236">
        <f t="shared" si="33"/>
        <v>2.5971000000000002E-3</v>
      </c>
      <c r="K97" s="216" t="s">
        <v>85</v>
      </c>
      <c r="L97" s="186"/>
    </row>
    <row r="98" spans="1:13" s="187" customFormat="1" x14ac:dyDescent="0.25">
      <c r="A98" s="169"/>
      <c r="B98" s="170" t="s">
        <v>311</v>
      </c>
      <c r="C98" s="185" t="s">
        <v>312</v>
      </c>
      <c r="D98" s="191">
        <f t="shared" si="42"/>
        <v>1000000000</v>
      </c>
      <c r="E98" s="191">
        <f t="shared" si="42"/>
        <v>1000000000</v>
      </c>
      <c r="F98" s="191"/>
      <c r="G98" s="191">
        <f t="shared" si="43"/>
        <v>2597100</v>
      </c>
      <c r="H98" s="191">
        <f t="shared" si="43"/>
        <v>2597100</v>
      </c>
      <c r="I98" s="359">
        <f>H98/D98</f>
        <v>2.5971000000000002E-3</v>
      </c>
      <c r="J98" s="236">
        <f t="shared" si="33"/>
        <v>2.5971000000000002E-3</v>
      </c>
      <c r="K98" s="216"/>
      <c r="L98" s="186"/>
    </row>
    <row r="99" spans="1:13" s="176" customFormat="1" x14ac:dyDescent="0.25">
      <c r="A99" s="188"/>
      <c r="B99" s="178" t="s">
        <v>513</v>
      </c>
      <c r="C99" s="183" t="s">
        <v>312</v>
      </c>
      <c r="D99" s="192">
        <v>1000000000</v>
      </c>
      <c r="E99" s="192">
        <v>1000000000</v>
      </c>
      <c r="F99" s="192">
        <f>'Realisasi Juli'!G119</f>
        <v>0</v>
      </c>
      <c r="G99" s="192">
        <v>2597100</v>
      </c>
      <c r="H99" s="192">
        <f>F99+G99</f>
        <v>2597100</v>
      </c>
      <c r="I99" s="361">
        <f>H99/D99</f>
        <v>2.5971000000000002E-3</v>
      </c>
      <c r="J99" s="24">
        <f t="shared" si="33"/>
        <v>2.5971000000000002E-3</v>
      </c>
      <c r="K99" s="207"/>
      <c r="L99" s="175"/>
    </row>
    <row r="100" spans="1:13" s="176" customFormat="1" x14ac:dyDescent="0.25">
      <c r="A100" s="188"/>
      <c r="B100" s="178"/>
      <c r="C100" s="183"/>
      <c r="D100" s="192"/>
      <c r="E100" s="192"/>
      <c r="F100" s="192"/>
      <c r="G100" s="192"/>
      <c r="H100" s="191"/>
      <c r="I100" s="359"/>
      <c r="J100" s="236"/>
      <c r="K100" s="207"/>
      <c r="L100" s="175"/>
    </row>
    <row r="101" spans="1:13" s="176" customFormat="1" ht="41.25" customHeight="1" x14ac:dyDescent="0.25">
      <c r="A101" s="168" t="s">
        <v>86</v>
      </c>
      <c r="B101" s="189" t="s">
        <v>313</v>
      </c>
      <c r="C101" s="30" t="s">
        <v>87</v>
      </c>
      <c r="D101" s="196">
        <f>SUM(D102)</f>
        <v>1663748323.6700001</v>
      </c>
      <c r="E101" s="196">
        <f>SUM(E102)</f>
        <v>1663748324</v>
      </c>
      <c r="F101" s="196">
        <f t="shared" ref="F101:H101" si="44">SUM(F102)</f>
        <v>1079761191</v>
      </c>
      <c r="G101" s="196">
        <f t="shared" si="44"/>
        <v>0</v>
      </c>
      <c r="H101" s="196">
        <f t="shared" si="44"/>
        <v>1079761191</v>
      </c>
      <c r="I101" s="359">
        <f>H101/D101</f>
        <v>0.64899310529022514</v>
      </c>
      <c r="J101" s="236">
        <f t="shared" si="33"/>
        <v>0.64899310516149922</v>
      </c>
      <c r="K101" s="209"/>
      <c r="L101" s="175"/>
    </row>
    <row r="102" spans="1:13" s="176" customFormat="1" ht="32.25" customHeight="1" x14ac:dyDescent="0.25">
      <c r="A102" s="188"/>
      <c r="B102" s="189" t="s">
        <v>314</v>
      </c>
      <c r="C102" s="30" t="s">
        <v>88</v>
      </c>
      <c r="D102" s="191">
        <f>SUM(D103:D105)</f>
        <v>1663748323.6700001</v>
      </c>
      <c r="E102" s="191">
        <f>SUM(E103:E105)</f>
        <v>1663748324</v>
      </c>
      <c r="F102" s="191">
        <f t="shared" ref="F102:H102" si="45">SUM(F103:F105)</f>
        <v>1079761191</v>
      </c>
      <c r="G102" s="191">
        <f t="shared" si="45"/>
        <v>0</v>
      </c>
      <c r="H102" s="191">
        <f t="shared" si="45"/>
        <v>1079761191</v>
      </c>
      <c r="I102" s="359">
        <f>H102/D102</f>
        <v>0.64899310529022514</v>
      </c>
      <c r="J102" s="236">
        <f t="shared" si="33"/>
        <v>0.64899310516149922</v>
      </c>
      <c r="K102" s="209"/>
      <c r="L102" s="175"/>
    </row>
    <row r="103" spans="1:13" s="176" customFormat="1" x14ac:dyDescent="0.25">
      <c r="A103" s="184" t="s">
        <v>89</v>
      </c>
      <c r="B103" s="190" t="s">
        <v>314</v>
      </c>
      <c r="C103" s="183" t="s">
        <v>90</v>
      </c>
      <c r="D103" s="192">
        <v>895097347.66999996</v>
      </c>
      <c r="E103" s="192">
        <v>895097348</v>
      </c>
      <c r="F103" s="192">
        <f>'Realisasi Juli'!G100</f>
        <v>1079761191</v>
      </c>
      <c r="G103" s="192"/>
      <c r="H103" s="192">
        <f>F103+G103</f>
        <v>1079761191</v>
      </c>
      <c r="I103" s="361">
        <f>H103/D103</f>
        <v>1.2063058770207427</v>
      </c>
      <c r="J103" s="24">
        <f t="shared" si="33"/>
        <v>1.206305876576008</v>
      </c>
      <c r="K103" s="207"/>
      <c r="L103" s="175"/>
    </row>
    <row r="104" spans="1:13" s="176" customFormat="1" x14ac:dyDescent="0.25">
      <c r="A104" s="184" t="s">
        <v>91</v>
      </c>
      <c r="B104" s="190" t="s">
        <v>314</v>
      </c>
      <c r="C104" s="183" t="s">
        <v>92</v>
      </c>
      <c r="D104" s="192">
        <v>455948308</v>
      </c>
      <c r="E104" s="192">
        <v>455948308</v>
      </c>
      <c r="F104" s="192">
        <f>'Realisasi Juli'!G101</f>
        <v>0</v>
      </c>
      <c r="G104" s="192"/>
      <c r="H104" s="192">
        <f t="shared" ref="H104:H105" si="46">F104+G104</f>
        <v>0</v>
      </c>
      <c r="I104" s="361">
        <f>H104/D104</f>
        <v>0</v>
      </c>
      <c r="J104" s="24">
        <f t="shared" si="33"/>
        <v>0</v>
      </c>
      <c r="K104" s="207" t="s">
        <v>93</v>
      </c>
      <c r="L104" s="175"/>
    </row>
    <row r="105" spans="1:13" s="176" customFormat="1" x14ac:dyDescent="0.25">
      <c r="A105" s="184" t="s">
        <v>72</v>
      </c>
      <c r="B105" s="190" t="s">
        <v>314</v>
      </c>
      <c r="C105" s="183" t="s">
        <v>94</v>
      </c>
      <c r="D105" s="192">
        <v>312702668</v>
      </c>
      <c r="E105" s="192">
        <v>312702668</v>
      </c>
      <c r="F105" s="192">
        <f>'Realisasi Juli'!G102</f>
        <v>0</v>
      </c>
      <c r="G105" s="192"/>
      <c r="H105" s="192">
        <f t="shared" si="46"/>
        <v>0</v>
      </c>
      <c r="I105" s="361">
        <f>H105/D105</f>
        <v>0</v>
      </c>
      <c r="J105" s="24">
        <f t="shared" si="33"/>
        <v>0</v>
      </c>
      <c r="K105" s="207"/>
      <c r="L105" s="175"/>
    </row>
    <row r="106" spans="1:13" s="176" customFormat="1" x14ac:dyDescent="0.25">
      <c r="A106" s="188"/>
      <c r="B106" s="178"/>
      <c r="C106" s="183"/>
      <c r="D106" s="192"/>
      <c r="E106" s="192"/>
      <c r="F106" s="192"/>
      <c r="G106" s="192"/>
      <c r="H106" s="191"/>
      <c r="I106" s="359"/>
      <c r="J106" s="236"/>
      <c r="K106" s="207"/>
      <c r="L106" s="175"/>
    </row>
    <row r="107" spans="1:13" s="176" customFormat="1" ht="21" customHeight="1" x14ac:dyDescent="0.25">
      <c r="A107" s="169" t="s">
        <v>95</v>
      </c>
      <c r="B107" s="189" t="s">
        <v>315</v>
      </c>
      <c r="C107" s="185" t="s">
        <v>96</v>
      </c>
      <c r="D107" s="191">
        <f>SUM(D109+D120+D124+D128+D141+D143+D156+D158+D165+D205+D219+D225+D114+D117+D137)</f>
        <v>146329185066</v>
      </c>
      <c r="E107" s="191">
        <f>SUM(E109+E120+E124+E128+E141+E143+E156+E158+E165+E205+E219+E225+E114+E117+E137)</f>
        <v>171911765691</v>
      </c>
      <c r="F107" s="191">
        <f>SUM(F109+F120+F124+F128+F141+F143+F156+F158+F165+F205+F219+F225+F114+F117+F137)</f>
        <v>124510708830.42</v>
      </c>
      <c r="G107" s="191">
        <f>SUM(G109+G120+G124+G128+G141+G143+G156+G158+G165+G205+G219+G225+G114+G117+G137)</f>
        <v>11817098878.18</v>
      </c>
      <c r="H107" s="191">
        <f>SUM(H109+H120+H124+H128+H141+H143+H156+H158+H165+H205+H219+H225+H114+H117+H137)</f>
        <v>136327807708.59999</v>
      </c>
      <c r="I107" s="359">
        <f>H107/D107</f>
        <v>0.93165152014692754</v>
      </c>
      <c r="J107" s="236">
        <f t="shared" si="33"/>
        <v>0.79301033969740142</v>
      </c>
      <c r="K107" s="209"/>
      <c r="L107" s="175"/>
      <c r="M107" s="270"/>
    </row>
    <row r="108" spans="1:13" s="176" customFormat="1" x14ac:dyDescent="0.25">
      <c r="A108" s="169"/>
      <c r="B108" s="31"/>
      <c r="C108" s="32"/>
      <c r="D108" s="192"/>
      <c r="E108" s="192"/>
      <c r="F108" s="192"/>
      <c r="G108" s="192"/>
      <c r="H108" s="191"/>
      <c r="I108" s="359"/>
      <c r="J108" s="236"/>
      <c r="K108" s="209"/>
      <c r="L108" s="175"/>
    </row>
    <row r="109" spans="1:13" s="176" customFormat="1" x14ac:dyDescent="0.25">
      <c r="A109" s="168" t="s">
        <v>19</v>
      </c>
      <c r="B109" s="189" t="s">
        <v>587</v>
      </c>
      <c r="C109" s="180" t="s">
        <v>589</v>
      </c>
      <c r="D109" s="191">
        <f>D111</f>
        <v>3029424600</v>
      </c>
      <c r="E109" s="191">
        <f>E111</f>
        <v>3029424600</v>
      </c>
      <c r="F109" s="191"/>
      <c r="G109" s="191">
        <f t="shared" ref="G109:H109" si="47">G111</f>
        <v>0</v>
      </c>
      <c r="H109" s="191">
        <f t="shared" si="47"/>
        <v>0</v>
      </c>
      <c r="I109" s="359">
        <f>H109/D109</f>
        <v>0</v>
      </c>
      <c r="J109" s="236">
        <f t="shared" si="33"/>
        <v>0</v>
      </c>
      <c r="K109" s="209"/>
      <c r="L109" s="175"/>
    </row>
    <row r="110" spans="1:13" s="176" customFormat="1" x14ac:dyDescent="0.25">
      <c r="A110" s="168"/>
      <c r="B110" s="189" t="s">
        <v>588</v>
      </c>
      <c r="C110" s="180" t="s">
        <v>589</v>
      </c>
      <c r="D110" s="191"/>
      <c r="E110" s="191"/>
      <c r="F110" s="191"/>
      <c r="G110" s="192"/>
      <c r="H110" s="191"/>
      <c r="I110" s="359"/>
      <c r="J110" s="236"/>
      <c r="K110" s="209"/>
      <c r="L110" s="175"/>
    </row>
    <row r="111" spans="1:13" s="176" customFormat="1" x14ac:dyDescent="0.25">
      <c r="A111" s="168"/>
      <c r="B111" s="189" t="s">
        <v>584</v>
      </c>
      <c r="C111" s="180" t="s">
        <v>585</v>
      </c>
      <c r="D111" s="191">
        <f>D112</f>
        <v>3029424600</v>
      </c>
      <c r="E111" s="191">
        <f>E112</f>
        <v>3029424600</v>
      </c>
      <c r="F111" s="191"/>
      <c r="G111" s="191">
        <f t="shared" ref="G111:H111" si="48">G112</f>
        <v>0</v>
      </c>
      <c r="H111" s="191">
        <f t="shared" si="48"/>
        <v>0</v>
      </c>
      <c r="I111" s="359">
        <f>H111/D111</f>
        <v>0</v>
      </c>
      <c r="J111" s="236">
        <f t="shared" si="33"/>
        <v>0</v>
      </c>
      <c r="K111" s="209"/>
      <c r="L111" s="175"/>
    </row>
    <row r="112" spans="1:13" s="176" customFormat="1" x14ac:dyDescent="0.25">
      <c r="A112" s="168"/>
      <c r="B112" s="190"/>
      <c r="C112" s="33" t="s">
        <v>586</v>
      </c>
      <c r="D112" s="192">
        <v>3029424600</v>
      </c>
      <c r="E112" s="192">
        <v>3029424600</v>
      </c>
      <c r="F112" s="192">
        <f>'Realisasi Juli'!G109</f>
        <v>0</v>
      </c>
      <c r="G112" s="192"/>
      <c r="H112" s="192">
        <f>F112+G112</f>
        <v>0</v>
      </c>
      <c r="I112" s="361">
        <f>H112/D112</f>
        <v>0</v>
      </c>
      <c r="J112" s="24">
        <f t="shared" si="33"/>
        <v>0</v>
      </c>
      <c r="K112" s="209"/>
      <c r="L112" s="175"/>
    </row>
    <row r="113" spans="1:12" s="176" customFormat="1" x14ac:dyDescent="0.25">
      <c r="A113" s="169"/>
      <c r="B113" s="31"/>
      <c r="C113" s="32"/>
      <c r="D113" s="192"/>
      <c r="E113" s="192"/>
      <c r="F113" s="192"/>
      <c r="G113" s="192"/>
      <c r="H113" s="191"/>
      <c r="I113" s="359"/>
      <c r="J113" s="236"/>
      <c r="K113" s="209"/>
      <c r="L113" s="175"/>
    </row>
    <row r="114" spans="1:12" s="176" customFormat="1" x14ac:dyDescent="0.25">
      <c r="A114" s="168"/>
      <c r="B114" s="190" t="s">
        <v>590</v>
      </c>
      <c r="C114" s="172" t="s">
        <v>581</v>
      </c>
      <c r="D114" s="191">
        <f>SUM(D115)</f>
        <v>0</v>
      </c>
      <c r="E114" s="191">
        <f>SUM(E115)</f>
        <v>20000000</v>
      </c>
      <c r="F114" s="191">
        <f>F115</f>
        <v>193993000</v>
      </c>
      <c r="G114" s="191">
        <f t="shared" ref="G114:H114" si="49">SUM(G115)</f>
        <v>0</v>
      </c>
      <c r="H114" s="191">
        <f t="shared" si="49"/>
        <v>193993000</v>
      </c>
      <c r="I114" s="359"/>
      <c r="J114" s="236">
        <f t="shared" si="33"/>
        <v>9.6996500000000001</v>
      </c>
      <c r="K114" s="207"/>
      <c r="L114" s="175"/>
    </row>
    <row r="115" spans="1:12" s="176" customFormat="1" x14ac:dyDescent="0.25">
      <c r="A115" s="168"/>
      <c r="B115" s="189"/>
      <c r="C115" s="193" t="s">
        <v>622</v>
      </c>
      <c r="D115" s="192">
        <v>0</v>
      </c>
      <c r="E115" s="192">
        <v>20000000</v>
      </c>
      <c r="F115" s="192">
        <f>'Realisasi Juli'!G112</f>
        <v>193993000</v>
      </c>
      <c r="G115" s="192">
        <v>0</v>
      </c>
      <c r="H115" s="192">
        <f>F115+G115</f>
        <v>193993000</v>
      </c>
      <c r="I115" s="359"/>
      <c r="J115" s="24">
        <f t="shared" si="33"/>
        <v>9.6996500000000001</v>
      </c>
      <c r="K115" s="207"/>
      <c r="L115" s="175"/>
    </row>
    <row r="116" spans="1:12" s="176" customFormat="1" x14ac:dyDescent="0.25">
      <c r="A116" s="168"/>
      <c r="B116" s="189"/>
      <c r="C116" s="193"/>
      <c r="D116" s="192"/>
      <c r="E116" s="192"/>
      <c r="F116" s="192"/>
      <c r="G116" s="192"/>
      <c r="H116" s="192"/>
      <c r="I116" s="359"/>
      <c r="J116" s="236"/>
      <c r="K116" s="207"/>
      <c r="L116" s="175"/>
    </row>
    <row r="117" spans="1:12" s="176" customFormat="1" x14ac:dyDescent="0.25">
      <c r="A117" s="169"/>
      <c r="B117" s="190" t="s">
        <v>318</v>
      </c>
      <c r="C117" s="172" t="s">
        <v>319</v>
      </c>
      <c r="D117" s="191">
        <f>SUM(D118:D118)</f>
        <v>186000000</v>
      </c>
      <c r="E117" s="191">
        <f>SUM(E118:E118)</f>
        <v>801206585</v>
      </c>
      <c r="F117" s="191">
        <f>SUM(F118:F118)</f>
        <v>766197335</v>
      </c>
      <c r="G117" s="191">
        <f>SUM(G118:G118)</f>
        <v>24000000</v>
      </c>
      <c r="H117" s="191">
        <f>SUM(H118:H118)</f>
        <v>790197335</v>
      </c>
      <c r="I117" s="359">
        <f>H117/D117</f>
        <v>4.2483727688172044</v>
      </c>
      <c r="J117" s="236">
        <f t="shared" si="33"/>
        <v>0.98625916186148166</v>
      </c>
      <c r="K117" s="209"/>
      <c r="L117" s="175"/>
    </row>
    <row r="118" spans="1:12" s="176" customFormat="1" x14ac:dyDescent="0.25">
      <c r="A118" s="169"/>
      <c r="B118" s="190"/>
      <c r="C118" s="193" t="s">
        <v>670</v>
      </c>
      <c r="D118" s="192">
        <v>186000000</v>
      </c>
      <c r="E118" s="192">
        <v>801206585</v>
      </c>
      <c r="F118" s="192">
        <f>'Realisasi Juli'!G115</f>
        <v>766197335</v>
      </c>
      <c r="G118" s="192">
        <v>24000000</v>
      </c>
      <c r="H118" s="192">
        <f t="shared" ref="H118" si="50">F118+G118</f>
        <v>790197335</v>
      </c>
      <c r="I118" s="361">
        <f t="shared" ref="I118" si="51">H118/D118</f>
        <v>4.2483727688172044</v>
      </c>
      <c r="J118" s="24">
        <f t="shared" si="33"/>
        <v>0.98625916186148166</v>
      </c>
      <c r="K118" s="209"/>
      <c r="L118" s="175"/>
    </row>
    <row r="119" spans="1:12" s="176" customFormat="1" x14ac:dyDescent="0.25">
      <c r="A119" s="169"/>
      <c r="B119" s="190"/>
      <c r="C119" s="193"/>
      <c r="D119" s="192"/>
      <c r="E119" s="192"/>
      <c r="F119" s="192"/>
      <c r="G119" s="192"/>
      <c r="H119" s="191"/>
      <c r="I119" s="359"/>
      <c r="J119" s="236"/>
      <c r="K119" s="209"/>
      <c r="L119" s="175"/>
    </row>
    <row r="120" spans="1:12" s="176" customFormat="1" x14ac:dyDescent="0.25">
      <c r="A120" s="168" t="s">
        <v>46</v>
      </c>
      <c r="B120" s="189" t="s">
        <v>342</v>
      </c>
      <c r="C120" s="185" t="s">
        <v>343</v>
      </c>
      <c r="D120" s="191">
        <f>D121</f>
        <v>1000000000</v>
      </c>
      <c r="E120" s="191">
        <f>E121</f>
        <v>1000000000</v>
      </c>
      <c r="F120" s="191"/>
      <c r="G120" s="191">
        <f t="shared" ref="G120:H121" si="52">G121</f>
        <v>0</v>
      </c>
      <c r="H120" s="191">
        <f t="shared" si="52"/>
        <v>0</v>
      </c>
      <c r="I120" s="359">
        <f>H120/D120</f>
        <v>0</v>
      </c>
      <c r="J120" s="236">
        <f t="shared" si="33"/>
        <v>0</v>
      </c>
      <c r="K120" s="209"/>
      <c r="L120" s="175"/>
    </row>
    <row r="121" spans="1:12" s="187" customFormat="1" x14ac:dyDescent="0.25">
      <c r="A121" s="169"/>
      <c r="B121" s="189" t="s">
        <v>344</v>
      </c>
      <c r="C121" s="185" t="s">
        <v>349</v>
      </c>
      <c r="D121" s="191">
        <f>D122</f>
        <v>1000000000</v>
      </c>
      <c r="E121" s="191">
        <f>E122</f>
        <v>1000000000</v>
      </c>
      <c r="F121" s="191"/>
      <c r="G121" s="191">
        <f t="shared" si="52"/>
        <v>0</v>
      </c>
      <c r="H121" s="191">
        <f t="shared" si="52"/>
        <v>0</v>
      </c>
      <c r="I121" s="359">
        <f>H121/D121</f>
        <v>0</v>
      </c>
      <c r="J121" s="236">
        <f t="shared" si="33"/>
        <v>0</v>
      </c>
      <c r="K121" s="210"/>
      <c r="L121" s="186"/>
    </row>
    <row r="122" spans="1:12" s="176" customFormat="1" x14ac:dyDescent="0.25">
      <c r="A122" s="169"/>
      <c r="B122" s="190"/>
      <c r="C122" s="171" t="s">
        <v>162</v>
      </c>
      <c r="D122" s="192">
        <v>1000000000</v>
      </c>
      <c r="E122" s="192">
        <v>1000000000</v>
      </c>
      <c r="F122" s="192">
        <f>'Realisasi Juli'!G119</f>
        <v>0</v>
      </c>
      <c r="G122" s="192"/>
      <c r="H122" s="192">
        <f>F122+G122</f>
        <v>0</v>
      </c>
      <c r="I122" s="361">
        <f>H122/D122</f>
        <v>0</v>
      </c>
      <c r="J122" s="24">
        <f t="shared" si="33"/>
        <v>0</v>
      </c>
      <c r="K122" s="209"/>
      <c r="L122" s="175"/>
    </row>
    <row r="123" spans="1:12" s="176" customFormat="1" x14ac:dyDescent="0.25">
      <c r="A123" s="169"/>
      <c r="B123" s="190"/>
      <c r="C123" s="193"/>
      <c r="D123" s="192"/>
      <c r="E123" s="192"/>
      <c r="F123" s="192"/>
      <c r="G123" s="192"/>
      <c r="H123" s="191"/>
      <c r="I123" s="359"/>
      <c r="J123" s="236"/>
      <c r="K123" s="209"/>
      <c r="L123" s="175"/>
    </row>
    <row r="124" spans="1:12" s="176" customFormat="1" x14ac:dyDescent="0.25">
      <c r="A124" s="168" t="s">
        <v>8</v>
      </c>
      <c r="B124" s="189" t="s">
        <v>320</v>
      </c>
      <c r="C124" s="185" t="s">
        <v>97</v>
      </c>
      <c r="D124" s="196">
        <f>SUM(D125:D126)</f>
        <v>2750000000</v>
      </c>
      <c r="E124" s="196">
        <f>SUM(E125:E126)</f>
        <v>2750000000</v>
      </c>
      <c r="F124" s="196">
        <f t="shared" ref="F124:G124" si="53">SUM(F125:F126)</f>
        <v>1804502137</v>
      </c>
      <c r="G124" s="196">
        <f t="shared" si="53"/>
        <v>355731838.02999997</v>
      </c>
      <c r="H124" s="196">
        <f>SUM(H125:H126)</f>
        <v>2160233975.0299997</v>
      </c>
      <c r="I124" s="359">
        <f>H124/D124</f>
        <v>0.78553962728363624</v>
      </c>
      <c r="J124" s="236">
        <f t="shared" si="33"/>
        <v>0.78553962728363624</v>
      </c>
      <c r="K124" s="207"/>
      <c r="L124" s="175"/>
    </row>
    <row r="125" spans="1:12" s="176" customFormat="1" x14ac:dyDescent="0.25">
      <c r="A125" s="188"/>
      <c r="B125" s="190" t="s">
        <v>514</v>
      </c>
      <c r="C125" s="183" t="s">
        <v>515</v>
      </c>
      <c r="D125" s="192">
        <v>2500000000</v>
      </c>
      <c r="E125" s="192">
        <v>2500000000</v>
      </c>
      <c r="F125" s="192">
        <f>'Realisasi Juli'!G122</f>
        <v>1754699130</v>
      </c>
      <c r="G125" s="192">
        <v>355673583.02999997</v>
      </c>
      <c r="H125" s="192">
        <f>F125+G125</f>
        <v>2110372713.03</v>
      </c>
      <c r="I125" s="361">
        <f>H125/D125</f>
        <v>0.84414908521199994</v>
      </c>
      <c r="J125" s="236">
        <f t="shared" si="33"/>
        <v>0.84414908521199994</v>
      </c>
      <c r="K125" s="207"/>
      <c r="L125" s="175"/>
    </row>
    <row r="126" spans="1:12" s="176" customFormat="1" x14ac:dyDescent="0.25">
      <c r="A126" s="188"/>
      <c r="B126" s="190" t="s">
        <v>517</v>
      </c>
      <c r="C126" s="183" t="s">
        <v>516</v>
      </c>
      <c r="D126" s="192">
        <v>250000000</v>
      </c>
      <c r="E126" s="192">
        <v>250000000</v>
      </c>
      <c r="F126" s="192">
        <f>'Realisasi Juli'!G123</f>
        <v>49803007</v>
      </c>
      <c r="G126" s="192">
        <v>58255</v>
      </c>
      <c r="H126" s="192">
        <f>F126+G126</f>
        <v>49861262</v>
      </c>
      <c r="I126" s="361">
        <f>H126/D126</f>
        <v>0.19944504800000001</v>
      </c>
      <c r="J126" s="236">
        <f t="shared" si="33"/>
        <v>0.19944504800000001</v>
      </c>
      <c r="K126" s="207"/>
      <c r="L126" s="175"/>
    </row>
    <row r="127" spans="1:12" s="176" customFormat="1" x14ac:dyDescent="0.25">
      <c r="A127" s="188"/>
      <c r="B127" s="178"/>
      <c r="C127" s="183"/>
      <c r="D127" s="192"/>
      <c r="E127" s="192"/>
      <c r="F127" s="192"/>
      <c r="G127" s="192"/>
      <c r="H127" s="191"/>
      <c r="I127" s="359"/>
      <c r="J127" s="236"/>
      <c r="K127" s="207"/>
      <c r="L127" s="175"/>
    </row>
    <row r="128" spans="1:12" s="176" customFormat="1" x14ac:dyDescent="0.25">
      <c r="A128" s="168" t="s">
        <v>49</v>
      </c>
      <c r="B128" s="189" t="s">
        <v>321</v>
      </c>
      <c r="C128" s="180" t="s">
        <v>98</v>
      </c>
      <c r="D128" s="196">
        <f>D129</f>
        <v>2600000000</v>
      </c>
      <c r="E128" s="196">
        <f>E129</f>
        <v>3100000000</v>
      </c>
      <c r="F128" s="196">
        <f t="shared" ref="F128:H129" si="54">F129</f>
        <v>377922102.88999999</v>
      </c>
      <c r="G128" s="196">
        <f t="shared" si="54"/>
        <v>91905202.760000005</v>
      </c>
      <c r="H128" s="196">
        <f t="shared" si="54"/>
        <v>469827305.64999998</v>
      </c>
      <c r="I128" s="359">
        <f t="shared" ref="I128:I134" si="55">H128/D128</f>
        <v>0.18070280986538462</v>
      </c>
      <c r="J128" s="236">
        <f t="shared" si="33"/>
        <v>0.15155719537096773</v>
      </c>
      <c r="K128" s="207"/>
      <c r="L128" s="175"/>
    </row>
    <row r="129" spans="1:12" s="176" customFormat="1" x14ac:dyDescent="0.25">
      <c r="A129" s="168"/>
      <c r="B129" s="189" t="s">
        <v>322</v>
      </c>
      <c r="C129" s="180" t="s">
        <v>323</v>
      </c>
      <c r="D129" s="196">
        <f>D130</f>
        <v>2600000000</v>
      </c>
      <c r="E129" s="196">
        <f>E130</f>
        <v>3100000000</v>
      </c>
      <c r="F129" s="196">
        <f t="shared" si="54"/>
        <v>377922102.88999999</v>
      </c>
      <c r="G129" s="196">
        <f t="shared" si="54"/>
        <v>91905202.760000005</v>
      </c>
      <c r="H129" s="196">
        <f t="shared" si="54"/>
        <v>469827305.64999998</v>
      </c>
      <c r="I129" s="359">
        <f t="shared" si="55"/>
        <v>0.18070280986538462</v>
      </c>
      <c r="J129" s="236">
        <f t="shared" si="33"/>
        <v>0.15155719537096773</v>
      </c>
      <c r="K129" s="207"/>
      <c r="L129" s="175"/>
    </row>
    <row r="130" spans="1:12" s="176" customFormat="1" x14ac:dyDescent="0.25">
      <c r="A130" s="168"/>
      <c r="B130" s="189" t="s">
        <v>518</v>
      </c>
      <c r="C130" s="180" t="s">
        <v>323</v>
      </c>
      <c r="D130" s="196">
        <f>SUM(D131:D135)</f>
        <v>2600000000</v>
      </c>
      <c r="E130" s="196">
        <f>SUM(E131:E135)</f>
        <v>3100000000</v>
      </c>
      <c r="F130" s="196">
        <f>'Realisasi Juli'!G127</f>
        <v>377922102.88999999</v>
      </c>
      <c r="G130" s="196">
        <v>91905202.760000005</v>
      </c>
      <c r="H130" s="196">
        <f>F130+G130</f>
        <v>469827305.64999998</v>
      </c>
      <c r="I130" s="359">
        <f t="shared" si="55"/>
        <v>0.18070280986538462</v>
      </c>
      <c r="J130" s="236">
        <f t="shared" si="33"/>
        <v>0.15155719537096773</v>
      </c>
      <c r="K130" s="207"/>
      <c r="L130" s="175"/>
    </row>
    <row r="131" spans="1:12" s="176" customFormat="1" x14ac:dyDescent="0.25">
      <c r="A131" s="169"/>
      <c r="B131" s="177"/>
      <c r="C131" s="193" t="s">
        <v>324</v>
      </c>
      <c r="D131" s="181">
        <v>1200000000</v>
      </c>
      <c r="E131" s="181">
        <v>1200000000</v>
      </c>
      <c r="F131" s="181">
        <f>'Realisasi Juli'!G128</f>
        <v>133561500</v>
      </c>
      <c r="G131" s="181">
        <v>27602710</v>
      </c>
      <c r="H131" s="192">
        <f>F131+G131</f>
        <v>161164210</v>
      </c>
      <c r="I131" s="361">
        <f t="shared" si="55"/>
        <v>0.13430350833333332</v>
      </c>
      <c r="J131" s="24">
        <f t="shared" si="33"/>
        <v>0.13430350833333332</v>
      </c>
      <c r="K131" s="207"/>
      <c r="L131" s="175"/>
    </row>
    <row r="132" spans="1:12" s="176" customFormat="1" x14ac:dyDescent="0.25">
      <c r="A132" s="169"/>
      <c r="B132" s="177"/>
      <c r="C132" s="193" t="s">
        <v>325</v>
      </c>
      <c r="D132" s="181">
        <v>600000000</v>
      </c>
      <c r="E132" s="181">
        <v>600000000</v>
      </c>
      <c r="F132" s="181">
        <f>'Realisasi Juli'!G129</f>
        <v>55918420.259999998</v>
      </c>
      <c r="G132" s="181">
        <v>11007948.720000001</v>
      </c>
      <c r="H132" s="192">
        <f t="shared" ref="H132:H135" si="56">F132+G132</f>
        <v>66926368.979999997</v>
      </c>
      <c r="I132" s="361">
        <f t="shared" si="55"/>
        <v>0.1115439483</v>
      </c>
      <c r="J132" s="24">
        <f t="shared" si="33"/>
        <v>0.1115439483</v>
      </c>
      <c r="K132" s="207"/>
      <c r="L132" s="175"/>
    </row>
    <row r="133" spans="1:12" s="176" customFormat="1" x14ac:dyDescent="0.25">
      <c r="A133" s="169"/>
      <c r="B133" s="178"/>
      <c r="C133" s="193" t="s">
        <v>578</v>
      </c>
      <c r="D133" s="181">
        <v>0</v>
      </c>
      <c r="E133" s="181">
        <v>0</v>
      </c>
      <c r="F133" s="181">
        <f>'Realisasi Juli'!G130</f>
        <v>28047945</v>
      </c>
      <c r="G133" s="181">
        <v>0</v>
      </c>
      <c r="H133" s="192">
        <f t="shared" si="56"/>
        <v>28047945</v>
      </c>
      <c r="I133" s="361" t="e">
        <f t="shared" si="55"/>
        <v>#DIV/0!</v>
      </c>
      <c r="J133" s="24" t="e">
        <f t="shared" si="33"/>
        <v>#DIV/0!</v>
      </c>
      <c r="K133" s="207"/>
      <c r="L133" s="175"/>
    </row>
    <row r="134" spans="1:12" s="176" customFormat="1" x14ac:dyDescent="0.25">
      <c r="A134" s="169"/>
      <c r="B134" s="178"/>
      <c r="C134" s="193" t="s">
        <v>326</v>
      </c>
      <c r="D134" s="181">
        <v>800000000</v>
      </c>
      <c r="E134" s="181">
        <v>800000000</v>
      </c>
      <c r="F134" s="181">
        <f>'Realisasi Juli'!G131</f>
        <v>114191768</v>
      </c>
      <c r="G134" s="181">
        <f>8493163+3821917+8493163+3821917</f>
        <v>24630160</v>
      </c>
      <c r="H134" s="192">
        <f t="shared" si="56"/>
        <v>138821928</v>
      </c>
      <c r="I134" s="361">
        <f t="shared" si="55"/>
        <v>0.17352740999999999</v>
      </c>
      <c r="J134" s="24">
        <f t="shared" si="33"/>
        <v>0.17352740999999999</v>
      </c>
      <c r="K134" s="207"/>
      <c r="L134" s="175"/>
    </row>
    <row r="135" spans="1:12" s="176" customFormat="1" x14ac:dyDescent="0.25">
      <c r="A135" s="169"/>
      <c r="B135" s="178"/>
      <c r="C135" s="193" t="s">
        <v>687</v>
      </c>
      <c r="D135" s="181"/>
      <c r="E135" s="181">
        <v>500000000</v>
      </c>
      <c r="F135" s="181">
        <f>'Realisasi Juli'!G132</f>
        <v>18801369.859999999</v>
      </c>
      <c r="G135" s="181">
        <f>9554794.52+9554794.52</f>
        <v>19109589.039999999</v>
      </c>
      <c r="H135" s="192">
        <f t="shared" si="56"/>
        <v>37910958.899999999</v>
      </c>
      <c r="I135" s="361"/>
      <c r="J135" s="24">
        <f t="shared" si="33"/>
        <v>7.5821917799999999E-2</v>
      </c>
      <c r="K135" s="207"/>
      <c r="L135" s="175"/>
    </row>
    <row r="136" spans="1:12" s="176" customFormat="1" x14ac:dyDescent="0.25">
      <c r="A136" s="169"/>
      <c r="B136" s="170"/>
      <c r="C136" s="185"/>
      <c r="D136" s="191"/>
      <c r="E136" s="191"/>
      <c r="F136" s="191"/>
      <c r="G136" s="191"/>
      <c r="H136" s="192"/>
      <c r="I136" s="361"/>
      <c r="J136" s="236"/>
      <c r="K136" s="207"/>
      <c r="L136" s="175"/>
    </row>
    <row r="137" spans="1:12" s="176" customFormat="1" x14ac:dyDescent="0.25">
      <c r="A137" s="168" t="s">
        <v>53</v>
      </c>
      <c r="B137" s="189" t="s">
        <v>623</v>
      </c>
      <c r="C137" s="180" t="s">
        <v>626</v>
      </c>
      <c r="D137" s="196">
        <f>D138</f>
        <v>0</v>
      </c>
      <c r="E137" s="196"/>
      <c r="F137" s="196">
        <f t="shared" ref="F137:H138" si="57">F138</f>
        <v>1080090802.2299998</v>
      </c>
      <c r="G137" s="196">
        <f t="shared" si="57"/>
        <v>162458273.74000001</v>
      </c>
      <c r="H137" s="196">
        <f t="shared" si="57"/>
        <v>1242549075.9699998</v>
      </c>
      <c r="I137" s="359" t="e">
        <f>H137/D137</f>
        <v>#DIV/0!</v>
      </c>
      <c r="J137" s="236" t="e">
        <f t="shared" si="33"/>
        <v>#DIV/0!</v>
      </c>
      <c r="K137" s="207"/>
      <c r="L137" s="175"/>
    </row>
    <row r="138" spans="1:12" s="176" customFormat="1" x14ac:dyDescent="0.25">
      <c r="A138" s="169"/>
      <c r="B138" s="189" t="s">
        <v>624</v>
      </c>
      <c r="C138" s="180" t="s">
        <v>626</v>
      </c>
      <c r="D138" s="196">
        <f>D139</f>
        <v>0</v>
      </c>
      <c r="E138" s="196"/>
      <c r="F138" s="196">
        <f t="shared" si="57"/>
        <v>1080090802.2299998</v>
      </c>
      <c r="G138" s="196">
        <f t="shared" si="57"/>
        <v>162458273.74000001</v>
      </c>
      <c r="H138" s="196">
        <f t="shared" si="57"/>
        <v>1242549075.9699998</v>
      </c>
      <c r="I138" s="359" t="e">
        <f>H138/D138</f>
        <v>#DIV/0!</v>
      </c>
      <c r="J138" s="236" t="e">
        <f t="shared" si="33"/>
        <v>#DIV/0!</v>
      </c>
      <c r="K138" s="207"/>
      <c r="L138" s="175"/>
    </row>
    <row r="139" spans="1:12" s="176" customFormat="1" x14ac:dyDescent="0.25">
      <c r="A139" s="188"/>
      <c r="B139" s="190" t="s">
        <v>625</v>
      </c>
      <c r="C139" s="33" t="s">
        <v>626</v>
      </c>
      <c r="D139" s="181">
        <v>0</v>
      </c>
      <c r="E139" s="181"/>
      <c r="F139" s="181">
        <f>'Realisasi Juli'!G136</f>
        <v>1080090802.2299998</v>
      </c>
      <c r="G139" s="181">
        <v>162458273.74000001</v>
      </c>
      <c r="H139" s="181">
        <f>F139+G139</f>
        <v>1242549075.9699998</v>
      </c>
      <c r="I139" s="361" t="e">
        <f>H139/D139</f>
        <v>#DIV/0!</v>
      </c>
      <c r="J139" s="24" t="e">
        <f t="shared" si="33"/>
        <v>#DIV/0!</v>
      </c>
      <c r="K139" s="207"/>
      <c r="L139" s="175"/>
    </row>
    <row r="140" spans="1:12" s="176" customFormat="1" x14ac:dyDescent="0.25">
      <c r="A140" s="169"/>
      <c r="B140" s="177"/>
      <c r="C140" s="193"/>
      <c r="D140" s="181"/>
      <c r="E140" s="181"/>
      <c r="F140" s="181"/>
      <c r="G140" s="181"/>
      <c r="H140" s="192"/>
      <c r="I140" s="361"/>
      <c r="J140" s="236"/>
      <c r="K140" s="207"/>
      <c r="L140" s="175"/>
    </row>
    <row r="141" spans="1:12" s="176" customFormat="1" x14ac:dyDescent="0.25">
      <c r="A141" s="168" t="s">
        <v>62</v>
      </c>
      <c r="B141" s="179" t="s">
        <v>99</v>
      </c>
      <c r="C141" s="180" t="s">
        <v>100</v>
      </c>
      <c r="D141" s="191">
        <v>0</v>
      </c>
      <c r="E141" s="191"/>
      <c r="F141" s="191">
        <f>'Realisasi April'!G135</f>
        <v>0</v>
      </c>
      <c r="G141" s="191">
        <v>0</v>
      </c>
      <c r="H141" s="191">
        <f>F141+G141</f>
        <v>0</v>
      </c>
      <c r="I141" s="359"/>
      <c r="J141" s="236"/>
      <c r="K141" s="207"/>
      <c r="L141" s="175"/>
    </row>
    <row r="142" spans="1:12" s="176" customFormat="1" x14ac:dyDescent="0.25">
      <c r="A142" s="169"/>
      <c r="B142" s="170"/>
      <c r="C142" s="185"/>
      <c r="D142" s="191"/>
      <c r="E142" s="191"/>
      <c r="F142" s="191"/>
      <c r="G142" s="191"/>
      <c r="H142" s="191"/>
      <c r="I142" s="359"/>
      <c r="J142" s="236"/>
      <c r="K142" s="207"/>
      <c r="L142" s="175"/>
    </row>
    <row r="143" spans="1:12" s="176" customFormat="1" x14ac:dyDescent="0.25">
      <c r="A143" s="168" t="s">
        <v>66</v>
      </c>
      <c r="B143" s="189" t="s">
        <v>328</v>
      </c>
      <c r="C143" s="180" t="s">
        <v>101</v>
      </c>
      <c r="D143" s="191">
        <f>SUM(D144:D154)</f>
        <v>0</v>
      </c>
      <c r="E143" s="191">
        <f>SUM(E144:E154)</f>
        <v>1175758877</v>
      </c>
      <c r="F143" s="191">
        <f t="shared" ref="F143:H143" si="58">SUM(F144:F154)</f>
        <v>1194245931</v>
      </c>
      <c r="G143" s="191">
        <f t="shared" si="58"/>
        <v>38757335</v>
      </c>
      <c r="H143" s="191">
        <f t="shared" si="58"/>
        <v>1233003266</v>
      </c>
      <c r="I143" s="359" t="e">
        <f t="shared" ref="I143:I151" si="59">H143/D143</f>
        <v>#DIV/0!</v>
      </c>
      <c r="J143" s="236">
        <f t="shared" ref="J143:J206" si="60">H143/E143</f>
        <v>1.0486871841835985</v>
      </c>
      <c r="K143" s="207"/>
      <c r="L143" s="175"/>
    </row>
    <row r="144" spans="1:12" s="176" customFormat="1" x14ac:dyDescent="0.25">
      <c r="A144" s="188"/>
      <c r="B144" s="190" t="s">
        <v>329</v>
      </c>
      <c r="C144" s="33" t="s">
        <v>102</v>
      </c>
      <c r="D144" s="192"/>
      <c r="E144" s="192">
        <v>12881622</v>
      </c>
      <c r="F144" s="192">
        <f>'Realisasi Juli'!G141</f>
        <v>14436142</v>
      </c>
      <c r="G144" s="192">
        <v>4818708</v>
      </c>
      <c r="H144" s="192">
        <f>F144+G144</f>
        <v>19254850</v>
      </c>
      <c r="I144" s="361" t="e">
        <f t="shared" si="59"/>
        <v>#DIV/0!</v>
      </c>
      <c r="J144" s="24">
        <f t="shared" si="60"/>
        <v>1.4947535333671489</v>
      </c>
      <c r="K144" s="207"/>
      <c r="L144" s="175"/>
    </row>
    <row r="145" spans="1:12" s="176" customFormat="1" x14ac:dyDescent="0.25">
      <c r="A145" s="188"/>
      <c r="B145" s="190" t="s">
        <v>330</v>
      </c>
      <c r="C145" s="33" t="s">
        <v>103</v>
      </c>
      <c r="D145" s="192"/>
      <c r="E145" s="192">
        <v>20147339</v>
      </c>
      <c r="F145" s="192">
        <f>'Realisasi Juli'!G142</f>
        <v>26151296</v>
      </c>
      <c r="G145" s="192">
        <v>8488635</v>
      </c>
      <c r="H145" s="192">
        <f t="shared" ref="H145:H153" si="61">F145+G145</f>
        <v>34639931</v>
      </c>
      <c r="I145" s="361" t="e">
        <f t="shared" si="59"/>
        <v>#DIV/0!</v>
      </c>
      <c r="J145" s="24">
        <f t="shared" si="60"/>
        <v>1.7193303294296085</v>
      </c>
      <c r="K145" s="207"/>
      <c r="L145" s="175"/>
    </row>
    <row r="146" spans="1:12" s="176" customFormat="1" x14ac:dyDescent="0.25">
      <c r="A146" s="188"/>
      <c r="B146" s="190" t="s">
        <v>331</v>
      </c>
      <c r="C146" s="33" t="s">
        <v>104</v>
      </c>
      <c r="D146" s="192"/>
      <c r="E146" s="192">
        <v>8222100</v>
      </c>
      <c r="F146" s="192">
        <f>'Realisasi Juli'!G143</f>
        <v>9925573</v>
      </c>
      <c r="G146" s="192">
        <v>16609552</v>
      </c>
      <c r="H146" s="192">
        <f t="shared" si="61"/>
        <v>26535125</v>
      </c>
      <c r="I146" s="361" t="e">
        <f t="shared" si="59"/>
        <v>#DIV/0!</v>
      </c>
      <c r="J146" s="24">
        <f t="shared" si="60"/>
        <v>3.227292905705355</v>
      </c>
      <c r="K146" s="207"/>
      <c r="L146" s="175"/>
    </row>
    <row r="147" spans="1:12" s="176" customFormat="1" x14ac:dyDescent="0.25">
      <c r="A147" s="188"/>
      <c r="B147" s="190" t="s">
        <v>332</v>
      </c>
      <c r="C147" s="33" t="s">
        <v>105</v>
      </c>
      <c r="D147" s="192"/>
      <c r="E147" s="192">
        <v>1112877</v>
      </c>
      <c r="F147" s="192">
        <f>'Realisasi Juli'!G144</f>
        <v>1428545</v>
      </c>
      <c r="G147" s="192">
        <v>476176</v>
      </c>
      <c r="H147" s="192">
        <f t="shared" si="61"/>
        <v>1904721</v>
      </c>
      <c r="I147" s="361" t="e">
        <f t="shared" si="59"/>
        <v>#DIV/0!</v>
      </c>
      <c r="J147" s="24">
        <f t="shared" si="60"/>
        <v>1.7115287673300823</v>
      </c>
      <c r="K147" s="207"/>
      <c r="L147" s="175"/>
    </row>
    <row r="148" spans="1:12" s="176" customFormat="1" x14ac:dyDescent="0.25">
      <c r="A148" s="188"/>
      <c r="B148" s="190" t="s">
        <v>333</v>
      </c>
      <c r="C148" s="33" t="s">
        <v>106</v>
      </c>
      <c r="D148" s="192"/>
      <c r="E148" s="192">
        <v>818170264</v>
      </c>
      <c r="F148" s="192">
        <f>'Realisasi Juli'!G145</f>
        <v>820929242</v>
      </c>
      <c r="G148" s="192">
        <v>50</v>
      </c>
      <c r="H148" s="192">
        <f t="shared" si="61"/>
        <v>820929292</v>
      </c>
      <c r="I148" s="361" t="e">
        <f t="shared" si="59"/>
        <v>#DIV/0!</v>
      </c>
      <c r="J148" s="24">
        <f t="shared" si="60"/>
        <v>1.0033721929546928</v>
      </c>
      <c r="K148" s="207"/>
      <c r="L148" s="175"/>
    </row>
    <row r="149" spans="1:12" s="176" customFormat="1" x14ac:dyDescent="0.25">
      <c r="A149" s="188"/>
      <c r="B149" s="190" t="s">
        <v>334</v>
      </c>
      <c r="C149" s="33" t="s">
        <v>107</v>
      </c>
      <c r="D149" s="192"/>
      <c r="E149" s="192">
        <v>2128173</v>
      </c>
      <c r="F149" s="192">
        <f>'Realisasi Juli'!G146</f>
        <v>3973398</v>
      </c>
      <c r="G149" s="192">
        <v>64929</v>
      </c>
      <c r="H149" s="192">
        <f t="shared" si="61"/>
        <v>4038327</v>
      </c>
      <c r="I149" s="361" t="e">
        <f t="shared" si="59"/>
        <v>#DIV/0!</v>
      </c>
      <c r="J149" s="24">
        <f t="shared" si="60"/>
        <v>1.8975557908121192</v>
      </c>
      <c r="K149" s="207"/>
      <c r="L149" s="175"/>
    </row>
    <row r="150" spans="1:12" s="176" customFormat="1" x14ac:dyDescent="0.25">
      <c r="A150" s="188"/>
      <c r="B150" s="190" t="s">
        <v>335</v>
      </c>
      <c r="C150" s="33" t="s">
        <v>108</v>
      </c>
      <c r="D150" s="192"/>
      <c r="E150" s="192">
        <v>11665567</v>
      </c>
      <c r="F150" s="192">
        <f>'Realisasi Juli'!G147</f>
        <v>11727313</v>
      </c>
      <c r="G150" s="192">
        <v>70165</v>
      </c>
      <c r="H150" s="192">
        <f t="shared" si="61"/>
        <v>11797478</v>
      </c>
      <c r="I150" s="361" t="e">
        <f t="shared" si="59"/>
        <v>#DIV/0!</v>
      </c>
      <c r="J150" s="24">
        <f t="shared" si="60"/>
        <v>1.0113077229765171</v>
      </c>
      <c r="K150" s="207"/>
      <c r="L150" s="175"/>
    </row>
    <row r="151" spans="1:12" s="176" customFormat="1" x14ac:dyDescent="0.25">
      <c r="A151" s="188"/>
      <c r="B151" s="190" t="s">
        <v>336</v>
      </c>
      <c r="C151" s="33" t="s">
        <v>109</v>
      </c>
      <c r="D151" s="192"/>
      <c r="E151" s="192">
        <v>1001910</v>
      </c>
      <c r="F151" s="192">
        <f>'Realisasi Juli'!G148</f>
        <v>1254310</v>
      </c>
      <c r="G151" s="192">
        <v>818270</v>
      </c>
      <c r="H151" s="192">
        <f t="shared" si="61"/>
        <v>2072580</v>
      </c>
      <c r="I151" s="361" t="e">
        <f t="shared" si="59"/>
        <v>#DIV/0!</v>
      </c>
      <c r="J151" s="24">
        <f t="shared" si="60"/>
        <v>2.0686289187651585</v>
      </c>
      <c r="K151" s="207"/>
      <c r="L151" s="175"/>
    </row>
    <row r="152" spans="1:12" s="176" customFormat="1" x14ac:dyDescent="0.25">
      <c r="A152" s="188"/>
      <c r="B152" s="190" t="s">
        <v>484</v>
      </c>
      <c r="C152" s="33" t="s">
        <v>482</v>
      </c>
      <c r="D152" s="192"/>
      <c r="E152" s="192">
        <v>0</v>
      </c>
      <c r="F152" s="192">
        <f>'Realisasi Juli'!G149</f>
        <v>0</v>
      </c>
      <c r="G152" s="192">
        <v>0</v>
      </c>
      <c r="H152" s="192">
        <f t="shared" si="61"/>
        <v>0</v>
      </c>
      <c r="I152" s="361"/>
      <c r="J152" s="24"/>
      <c r="K152" s="207"/>
      <c r="L152" s="175"/>
    </row>
    <row r="153" spans="1:12" s="176" customFormat="1" x14ac:dyDescent="0.25">
      <c r="A153" s="188"/>
      <c r="B153" s="190" t="s">
        <v>337</v>
      </c>
      <c r="C153" s="33" t="s">
        <v>110</v>
      </c>
      <c r="D153" s="192"/>
      <c r="E153" s="192">
        <v>300429025</v>
      </c>
      <c r="F153" s="192">
        <f>'Realisasi Juli'!G150</f>
        <v>304420112</v>
      </c>
      <c r="G153" s="192">
        <v>7410850</v>
      </c>
      <c r="H153" s="192">
        <f t="shared" si="61"/>
        <v>311830962</v>
      </c>
      <c r="I153" s="361" t="e">
        <f>H153/D153</f>
        <v>#DIV/0!</v>
      </c>
      <c r="J153" s="24">
        <f t="shared" si="60"/>
        <v>1.0379521818838908</v>
      </c>
      <c r="K153" s="207"/>
      <c r="L153" s="175"/>
    </row>
    <row r="154" spans="1:12" s="176" customFormat="1" x14ac:dyDescent="0.25">
      <c r="A154" s="188"/>
      <c r="B154" s="190" t="s">
        <v>485</v>
      </c>
      <c r="C154" s="33" t="s">
        <v>483</v>
      </c>
      <c r="D154" s="192">
        <v>0</v>
      </c>
      <c r="E154" s="192"/>
      <c r="F154" s="192">
        <f>'Realisasi Juli'!G151</f>
        <v>0</v>
      </c>
      <c r="G154" s="192"/>
      <c r="H154" s="192">
        <f>G154-D154</f>
        <v>0</v>
      </c>
      <c r="I154" s="361" t="e">
        <f>H154/D154</f>
        <v>#DIV/0!</v>
      </c>
      <c r="J154" s="24" t="e">
        <f t="shared" si="60"/>
        <v>#DIV/0!</v>
      </c>
      <c r="K154" s="207"/>
      <c r="L154" s="175"/>
    </row>
    <row r="155" spans="1:12" s="176" customFormat="1" x14ac:dyDescent="0.25">
      <c r="A155" s="169"/>
      <c r="B155" s="170"/>
      <c r="C155" s="180"/>
      <c r="D155" s="191"/>
      <c r="E155" s="191"/>
      <c r="F155" s="191"/>
      <c r="G155" s="191"/>
      <c r="H155" s="191"/>
      <c r="I155" s="361"/>
      <c r="J155" s="236"/>
      <c r="K155" s="207"/>
      <c r="L155" s="175"/>
    </row>
    <row r="156" spans="1:12" s="176" customFormat="1" x14ac:dyDescent="0.25">
      <c r="A156" s="168" t="s">
        <v>73</v>
      </c>
      <c r="B156" s="189" t="s">
        <v>327</v>
      </c>
      <c r="C156" s="185" t="s">
        <v>111</v>
      </c>
      <c r="D156" s="191"/>
      <c r="E156" s="191"/>
      <c r="F156" s="191">
        <f>'Realisasi April'!G150</f>
        <v>0</v>
      </c>
      <c r="G156" s="191"/>
      <c r="H156" s="191"/>
      <c r="I156" s="359"/>
      <c r="J156" s="236"/>
      <c r="K156" s="207"/>
      <c r="L156" s="175"/>
    </row>
    <row r="157" spans="1:12" s="176" customFormat="1" x14ac:dyDescent="0.25">
      <c r="A157" s="169"/>
      <c r="B157" s="170"/>
      <c r="C157" s="185"/>
      <c r="D157" s="191"/>
      <c r="E157" s="191"/>
      <c r="F157" s="191"/>
      <c r="G157" s="191"/>
      <c r="H157" s="191"/>
      <c r="I157" s="359"/>
      <c r="J157" s="236"/>
      <c r="K157" s="207"/>
      <c r="L157" s="175"/>
    </row>
    <row r="158" spans="1:12" s="176" customFormat="1" x14ac:dyDescent="0.25">
      <c r="A158" s="168" t="s">
        <v>74</v>
      </c>
      <c r="B158" s="189" t="s">
        <v>338</v>
      </c>
      <c r="C158" s="34" t="s">
        <v>339</v>
      </c>
      <c r="D158" s="191">
        <f>D159+D162</f>
        <v>0</v>
      </c>
      <c r="E158" s="191">
        <f>E159+E162</f>
        <v>32560678</v>
      </c>
      <c r="F158" s="191">
        <f>F159+F162</f>
        <v>93828215</v>
      </c>
      <c r="G158" s="191">
        <f t="shared" ref="G158:H158" si="62">G159+G162</f>
        <v>10829505</v>
      </c>
      <c r="H158" s="191">
        <f t="shared" si="62"/>
        <v>104657720</v>
      </c>
      <c r="I158" s="362" t="e">
        <f>H158/D158</f>
        <v>#DIV/0!</v>
      </c>
      <c r="J158" s="236">
        <f t="shared" si="60"/>
        <v>3.2142365094486056</v>
      </c>
      <c r="K158" s="207"/>
      <c r="L158" s="175"/>
    </row>
    <row r="159" spans="1:12" s="176" customFormat="1" x14ac:dyDescent="0.25">
      <c r="A159" s="169"/>
      <c r="B159" s="189" t="s">
        <v>596</v>
      </c>
      <c r="C159" s="180" t="s">
        <v>598</v>
      </c>
      <c r="D159" s="191">
        <f>D160</f>
        <v>0</v>
      </c>
      <c r="E159" s="191">
        <f>E160</f>
        <v>15000000</v>
      </c>
      <c r="F159" s="191">
        <f>F160</f>
        <v>6553200</v>
      </c>
      <c r="G159" s="191">
        <f t="shared" ref="G159:H159" si="63">G160</f>
        <v>10688200</v>
      </c>
      <c r="H159" s="191">
        <f t="shared" si="63"/>
        <v>17241400</v>
      </c>
      <c r="I159" s="362" t="e">
        <f>H159/D159</f>
        <v>#DIV/0!</v>
      </c>
      <c r="J159" s="236">
        <f t="shared" si="60"/>
        <v>1.1494266666666666</v>
      </c>
      <c r="K159" s="207"/>
      <c r="L159" s="175"/>
    </row>
    <row r="160" spans="1:12" s="176" customFormat="1" x14ac:dyDescent="0.25">
      <c r="A160" s="169"/>
      <c r="B160" s="190" t="s">
        <v>597</v>
      </c>
      <c r="C160" s="33" t="s">
        <v>598</v>
      </c>
      <c r="D160" s="192">
        <v>0</v>
      </c>
      <c r="E160" s="192">
        <v>15000000</v>
      </c>
      <c r="F160" s="192">
        <f>'Realisasi Juli'!G157</f>
        <v>6553200</v>
      </c>
      <c r="G160" s="192">
        <v>10688200</v>
      </c>
      <c r="H160" s="192">
        <f>F160+G160</f>
        <v>17241400</v>
      </c>
      <c r="I160" s="363" t="e">
        <f>H160/D160</f>
        <v>#DIV/0!</v>
      </c>
      <c r="J160" s="24">
        <f t="shared" si="60"/>
        <v>1.1494266666666666</v>
      </c>
      <c r="K160" s="207"/>
      <c r="L160" s="175"/>
    </row>
    <row r="161" spans="1:14" s="176" customFormat="1" x14ac:dyDescent="0.25">
      <c r="A161" s="169"/>
      <c r="B161" s="170"/>
      <c r="C161" s="180"/>
      <c r="D161" s="191"/>
      <c r="E161" s="191"/>
      <c r="F161" s="191"/>
      <c r="G161" s="191"/>
      <c r="H161" s="191"/>
      <c r="I161" s="362"/>
      <c r="J161" s="236"/>
      <c r="K161" s="207"/>
      <c r="L161" s="175"/>
    </row>
    <row r="162" spans="1:14" s="176" customFormat="1" x14ac:dyDescent="0.25">
      <c r="A162" s="169"/>
      <c r="B162" s="189" t="s">
        <v>599</v>
      </c>
      <c r="C162" s="180" t="s">
        <v>601</v>
      </c>
      <c r="D162" s="191">
        <f>D163</f>
        <v>0</v>
      </c>
      <c r="E162" s="191">
        <f>E163</f>
        <v>17560678</v>
      </c>
      <c r="F162" s="191">
        <f>F163</f>
        <v>87275015</v>
      </c>
      <c r="G162" s="191">
        <f t="shared" ref="G162:H162" si="64">G163</f>
        <v>141305</v>
      </c>
      <c r="H162" s="191">
        <f t="shared" si="64"/>
        <v>87416320</v>
      </c>
      <c r="I162" s="362" t="e">
        <f>H162/D162</f>
        <v>#DIV/0!</v>
      </c>
      <c r="J162" s="236">
        <f t="shared" si="60"/>
        <v>4.9779581403405952</v>
      </c>
      <c r="K162" s="207"/>
      <c r="L162" s="175"/>
    </row>
    <row r="163" spans="1:14" s="176" customFormat="1" x14ac:dyDescent="0.25">
      <c r="A163" s="169"/>
      <c r="B163" s="190" t="s">
        <v>600</v>
      </c>
      <c r="C163" s="33" t="s">
        <v>601</v>
      </c>
      <c r="D163" s="192">
        <v>0</v>
      </c>
      <c r="E163" s="192">
        <v>17560678</v>
      </c>
      <c r="F163" s="192">
        <f>'Realisasi Juli'!G160</f>
        <v>87275015</v>
      </c>
      <c r="G163" s="192">
        <v>141305</v>
      </c>
      <c r="H163" s="192">
        <f>F163+G163</f>
        <v>87416320</v>
      </c>
      <c r="I163" s="363" t="e">
        <f>H163/D163</f>
        <v>#DIV/0!</v>
      </c>
      <c r="J163" s="24">
        <f t="shared" si="60"/>
        <v>4.9779581403405952</v>
      </c>
      <c r="K163" s="207"/>
      <c r="L163" s="175"/>
    </row>
    <row r="164" spans="1:14" s="176" customFormat="1" x14ac:dyDescent="0.25">
      <c r="A164" s="169"/>
      <c r="B164" s="190"/>
      <c r="C164" s="33"/>
      <c r="D164" s="192"/>
      <c r="E164" s="192"/>
      <c r="F164" s="192"/>
      <c r="G164" s="192"/>
      <c r="H164" s="192"/>
      <c r="I164" s="363"/>
      <c r="J164" s="236"/>
      <c r="K164" s="207"/>
      <c r="L164" s="175"/>
    </row>
    <row r="165" spans="1:14" s="176" customFormat="1" x14ac:dyDescent="0.25">
      <c r="A165" s="168" t="s">
        <v>81</v>
      </c>
      <c r="B165" s="22" t="s">
        <v>306</v>
      </c>
      <c r="C165" s="185" t="s">
        <v>75</v>
      </c>
      <c r="D165" s="196">
        <f>D166</f>
        <v>122100000000</v>
      </c>
      <c r="E165" s="196">
        <f>E166</f>
        <v>145682205841</v>
      </c>
      <c r="F165" s="196">
        <f t="shared" ref="F165:H166" si="65">F166</f>
        <v>111049106846</v>
      </c>
      <c r="G165" s="196">
        <f t="shared" si="65"/>
        <v>9925700620</v>
      </c>
      <c r="H165" s="196">
        <f t="shared" si="65"/>
        <v>120974807466</v>
      </c>
      <c r="I165" s="359">
        <f t="shared" ref="I165:I197" si="66">H165/D165</f>
        <v>0.9907846639312039</v>
      </c>
      <c r="J165" s="236">
        <f t="shared" si="60"/>
        <v>0.83040208491923806</v>
      </c>
      <c r="K165" s="207" t="s">
        <v>112</v>
      </c>
      <c r="L165" s="175"/>
    </row>
    <row r="166" spans="1:14" s="176" customFormat="1" x14ac:dyDescent="0.25">
      <c r="A166" s="168"/>
      <c r="B166" s="189" t="s">
        <v>340</v>
      </c>
      <c r="C166" s="185" t="s">
        <v>341</v>
      </c>
      <c r="D166" s="196">
        <f>D167</f>
        <v>122100000000</v>
      </c>
      <c r="E166" s="196">
        <f>E167</f>
        <v>145682205841</v>
      </c>
      <c r="F166" s="196">
        <f t="shared" si="65"/>
        <v>111049106846</v>
      </c>
      <c r="G166" s="196">
        <f t="shared" si="65"/>
        <v>9925700620</v>
      </c>
      <c r="H166" s="196">
        <f t="shared" si="65"/>
        <v>120974807466</v>
      </c>
      <c r="I166" s="359">
        <f t="shared" si="66"/>
        <v>0.9907846639312039</v>
      </c>
      <c r="J166" s="236">
        <f t="shared" si="60"/>
        <v>0.83040208491923806</v>
      </c>
      <c r="K166" s="207"/>
      <c r="L166" s="175"/>
    </row>
    <row r="167" spans="1:14" s="176" customFormat="1" x14ac:dyDescent="0.25">
      <c r="A167" s="188"/>
      <c r="B167" s="178"/>
      <c r="C167" s="185" t="s">
        <v>113</v>
      </c>
      <c r="D167" s="191">
        <f>D168+D175+D181+D184+D188+D191+D194+D197+D201</f>
        <v>122100000000</v>
      </c>
      <c r="E167" s="191">
        <f>E168+E175+E181+E184+E188+E191+E194+E197+E201</f>
        <v>145682205841</v>
      </c>
      <c r="F167" s="191">
        <f t="shared" ref="F167:H167" si="67">F168+F175+F181+F184+F188+F191+F194+F197+F201</f>
        <v>111049106846</v>
      </c>
      <c r="G167" s="191">
        <f t="shared" si="67"/>
        <v>9925700620</v>
      </c>
      <c r="H167" s="191">
        <f t="shared" si="67"/>
        <v>120974807466</v>
      </c>
      <c r="I167" s="359">
        <f>H167/D167</f>
        <v>0.9907846639312039</v>
      </c>
      <c r="J167" s="236">
        <f t="shared" si="60"/>
        <v>0.83040208491923806</v>
      </c>
      <c r="K167" s="207" t="s">
        <v>114</v>
      </c>
      <c r="L167" s="175"/>
    </row>
    <row r="168" spans="1:14" s="176" customFormat="1" x14ac:dyDescent="0.25">
      <c r="A168" s="188"/>
      <c r="B168" s="178"/>
      <c r="C168" s="35" t="s">
        <v>115</v>
      </c>
      <c r="D168" s="191">
        <f>SUM(D169:D174)</f>
        <v>10327224000</v>
      </c>
      <c r="E168" s="191">
        <f>SUM(E169:E174)</f>
        <v>11999955000</v>
      </c>
      <c r="F168" s="191">
        <f t="shared" ref="F168:H168" si="68">SUM(F169:F174)</f>
        <v>5550157825</v>
      </c>
      <c r="G168" s="191">
        <f t="shared" si="68"/>
        <v>1147226451</v>
      </c>
      <c r="H168" s="191">
        <f t="shared" si="68"/>
        <v>6697384276</v>
      </c>
      <c r="I168" s="359">
        <f t="shared" si="66"/>
        <v>0.64851738240595924</v>
      </c>
      <c r="J168" s="236">
        <f t="shared" si="60"/>
        <v>0.55811744927376816</v>
      </c>
      <c r="K168" s="207"/>
      <c r="L168" s="175"/>
      <c r="M168" s="270"/>
    </row>
    <row r="169" spans="1:14" s="176" customFormat="1" x14ac:dyDescent="0.25">
      <c r="A169" s="188"/>
      <c r="B169" s="178"/>
      <c r="C169" s="171" t="s">
        <v>116</v>
      </c>
      <c r="D169" s="192">
        <v>794144000</v>
      </c>
      <c r="E169" s="192">
        <v>945785000</v>
      </c>
      <c r="F169" s="192">
        <f>'Realisasi Juli'!G166</f>
        <v>495383132</v>
      </c>
      <c r="G169" s="192">
        <v>83371429</v>
      </c>
      <c r="H169" s="192">
        <f>F169+G169</f>
        <v>578754561</v>
      </c>
      <c r="I169" s="361">
        <f t="shared" si="66"/>
        <v>0.72877785514969573</v>
      </c>
      <c r="J169" s="24">
        <f t="shared" si="60"/>
        <v>0.6119303657808064</v>
      </c>
      <c r="K169" s="207"/>
      <c r="L169" s="175"/>
    </row>
    <row r="170" spans="1:14" s="176" customFormat="1" x14ac:dyDescent="0.25">
      <c r="A170" s="188"/>
      <c r="B170" s="178"/>
      <c r="C170" s="171" t="s">
        <v>117</v>
      </c>
      <c r="D170" s="192">
        <v>1454000000</v>
      </c>
      <c r="E170" s="192">
        <v>1858720000</v>
      </c>
      <c r="F170" s="192">
        <f>'Realisasi Juli'!G167</f>
        <v>948299075</v>
      </c>
      <c r="G170" s="192">
        <v>100537952</v>
      </c>
      <c r="H170" s="192">
        <f t="shared" ref="H170:H174" si="69">F170+G170</f>
        <v>1048837027</v>
      </c>
      <c r="I170" s="361">
        <f t="shared" si="66"/>
        <v>0.72134596079779922</v>
      </c>
      <c r="J170" s="24">
        <f t="shared" si="60"/>
        <v>0.56427919589825259</v>
      </c>
      <c r="K170" s="207"/>
      <c r="L170" s="175"/>
    </row>
    <row r="171" spans="1:14" s="176" customFormat="1" x14ac:dyDescent="0.25">
      <c r="A171" s="188"/>
      <c r="B171" s="178"/>
      <c r="C171" s="171" t="s">
        <v>118</v>
      </c>
      <c r="D171" s="192">
        <v>4535600000</v>
      </c>
      <c r="E171" s="192">
        <v>5641950000</v>
      </c>
      <c r="F171" s="192">
        <f>'Realisasi Juli'!G168</f>
        <v>2277276897</v>
      </c>
      <c r="G171" s="192">
        <v>523173317</v>
      </c>
      <c r="H171" s="192">
        <f t="shared" si="69"/>
        <v>2800450214</v>
      </c>
      <c r="I171" s="361">
        <f t="shared" si="66"/>
        <v>0.61743765190933941</v>
      </c>
      <c r="J171" s="24">
        <f t="shared" si="60"/>
        <v>0.49636211132675762</v>
      </c>
      <c r="K171" s="207"/>
      <c r="L171" s="175"/>
    </row>
    <row r="172" spans="1:14" s="176" customFormat="1" x14ac:dyDescent="0.25">
      <c r="A172" s="188"/>
      <c r="B172" s="178"/>
      <c r="C172" s="171" t="s">
        <v>119</v>
      </c>
      <c r="D172" s="192">
        <v>2388980000</v>
      </c>
      <c r="E172" s="192">
        <v>1970100000</v>
      </c>
      <c r="F172" s="192">
        <f>'Realisasi Juli'!G169</f>
        <v>927485539</v>
      </c>
      <c r="G172" s="192">
        <v>211698972</v>
      </c>
      <c r="H172" s="192">
        <f t="shared" si="69"/>
        <v>1139184511</v>
      </c>
      <c r="I172" s="361">
        <f t="shared" si="66"/>
        <v>0.47684974800961077</v>
      </c>
      <c r="J172" s="24">
        <f t="shared" si="60"/>
        <v>0.57823689711182169</v>
      </c>
      <c r="K172" s="207"/>
      <c r="L172" s="175"/>
    </row>
    <row r="173" spans="1:14" s="176" customFormat="1" x14ac:dyDescent="0.25">
      <c r="A173" s="188"/>
      <c r="B173" s="178"/>
      <c r="C173" s="171" t="s">
        <v>120</v>
      </c>
      <c r="D173" s="192">
        <v>51200000</v>
      </c>
      <c r="E173" s="192">
        <v>70400000</v>
      </c>
      <c r="F173" s="192">
        <f>'Realisasi Juli'!G170</f>
        <v>25805000</v>
      </c>
      <c r="G173" s="192">
        <v>2906800</v>
      </c>
      <c r="H173" s="192">
        <f t="shared" si="69"/>
        <v>28711800</v>
      </c>
      <c r="I173" s="361">
        <f t="shared" si="66"/>
        <v>0.56077734374999999</v>
      </c>
      <c r="J173" s="24">
        <f t="shared" si="60"/>
        <v>0.40783806818181817</v>
      </c>
      <c r="K173" s="207"/>
      <c r="L173" s="175"/>
    </row>
    <row r="174" spans="1:14" s="176" customFormat="1" x14ac:dyDescent="0.25">
      <c r="A174" s="188"/>
      <c r="B174" s="178"/>
      <c r="C174" s="171" t="s">
        <v>121</v>
      </c>
      <c r="D174" s="192">
        <v>1103300000</v>
      </c>
      <c r="E174" s="192">
        <v>1513000000</v>
      </c>
      <c r="F174" s="192">
        <f>'Realisasi Juli'!G171</f>
        <v>875908182</v>
      </c>
      <c r="G174" s="192">
        <v>225537981</v>
      </c>
      <c r="H174" s="192">
        <f t="shared" si="69"/>
        <v>1101446163</v>
      </c>
      <c r="I174" s="361">
        <f t="shared" si="66"/>
        <v>0.99831973443306443</v>
      </c>
      <c r="J174" s="24">
        <f t="shared" si="60"/>
        <v>0.72798821083939191</v>
      </c>
      <c r="K174" s="207"/>
      <c r="L174" s="175"/>
    </row>
    <row r="175" spans="1:14" s="176" customFormat="1" x14ac:dyDescent="0.25">
      <c r="A175" s="188"/>
      <c r="B175" s="178"/>
      <c r="C175" s="185" t="s">
        <v>122</v>
      </c>
      <c r="D175" s="191">
        <f>SUM(D176:D180)</f>
        <v>71738434000</v>
      </c>
      <c r="E175" s="191">
        <f>SUM(E176:E180)</f>
        <v>64267216000</v>
      </c>
      <c r="F175" s="191">
        <f t="shared" ref="F175:H175" si="70">SUM(F176:F180)</f>
        <v>38711567984</v>
      </c>
      <c r="G175" s="191">
        <f t="shared" si="70"/>
        <v>7198147724</v>
      </c>
      <c r="H175" s="191">
        <f t="shared" si="70"/>
        <v>45909715708</v>
      </c>
      <c r="I175" s="359">
        <f t="shared" si="66"/>
        <v>0.63995982555180952</v>
      </c>
      <c r="J175" s="236">
        <f t="shared" si="60"/>
        <v>0.71435669016688075</v>
      </c>
      <c r="K175" s="207"/>
      <c r="L175" s="175"/>
    </row>
    <row r="176" spans="1:14" s="176" customFormat="1" x14ac:dyDescent="0.25">
      <c r="A176" s="188"/>
      <c r="B176" s="178"/>
      <c r="C176" s="171" t="s">
        <v>117</v>
      </c>
      <c r="D176" s="192">
        <v>19459500000</v>
      </c>
      <c r="E176" s="192">
        <v>20349000000</v>
      </c>
      <c r="F176" s="192">
        <f>'Realisasi Juli'!G173</f>
        <v>12393778200</v>
      </c>
      <c r="G176" s="192">
        <v>2100209100</v>
      </c>
      <c r="H176" s="192">
        <f>F176+G176</f>
        <v>14493987300</v>
      </c>
      <c r="I176" s="361">
        <f t="shared" si="66"/>
        <v>0.74482835119093505</v>
      </c>
      <c r="J176" s="24">
        <f t="shared" si="60"/>
        <v>0.71227024915229253</v>
      </c>
      <c r="K176" s="207"/>
      <c r="L176" s="175"/>
      <c r="N176" s="3"/>
    </row>
    <row r="177" spans="1:14" s="176" customFormat="1" x14ac:dyDescent="0.25">
      <c r="A177" s="188"/>
      <c r="B177" s="178"/>
      <c r="C177" s="171" t="s">
        <v>118</v>
      </c>
      <c r="D177" s="192">
        <v>49831374000</v>
      </c>
      <c r="E177" s="192">
        <v>41013056000</v>
      </c>
      <c r="F177" s="192">
        <f>'Realisasi Juli'!G174</f>
        <v>24237013570</v>
      </c>
      <c r="G177" s="192">
        <v>4879711619</v>
      </c>
      <c r="H177" s="192">
        <f t="shared" ref="H177:H180" si="71">F177+G177</f>
        <v>29116725189</v>
      </c>
      <c r="I177" s="361">
        <f t="shared" si="66"/>
        <v>0.58430508436311634</v>
      </c>
      <c r="J177" s="24">
        <f t="shared" si="60"/>
        <v>0.70993795704957952</v>
      </c>
      <c r="K177" s="207"/>
      <c r="L177" s="175"/>
      <c r="M177" s="270"/>
      <c r="N177" s="3"/>
    </row>
    <row r="178" spans="1:14" s="176" customFormat="1" x14ac:dyDescent="0.25">
      <c r="A178" s="188"/>
      <c r="B178" s="178"/>
      <c r="C178" s="171" t="s">
        <v>123</v>
      </c>
      <c r="D178" s="192">
        <v>227620000</v>
      </c>
      <c r="E178" s="192">
        <v>287520000</v>
      </c>
      <c r="F178" s="192">
        <f>'Realisasi Juli'!G175</f>
        <v>218250000</v>
      </c>
      <c r="G178" s="192">
        <v>22500000</v>
      </c>
      <c r="H178" s="192">
        <f t="shared" si="71"/>
        <v>240750000</v>
      </c>
      <c r="I178" s="361">
        <f t="shared" si="66"/>
        <v>1.0576838590633513</v>
      </c>
      <c r="J178" s="24">
        <f t="shared" si="60"/>
        <v>0.83733305509181966</v>
      </c>
      <c r="K178" s="207"/>
      <c r="L178" s="175"/>
      <c r="N178" s="3"/>
    </row>
    <row r="179" spans="1:14" s="176" customFormat="1" x14ac:dyDescent="0.25">
      <c r="A179" s="188"/>
      <c r="B179" s="178"/>
      <c r="C179" s="171" t="s">
        <v>124</v>
      </c>
      <c r="D179" s="192">
        <v>2087340000</v>
      </c>
      <c r="E179" s="192">
        <v>2461640000</v>
      </c>
      <c r="F179" s="192">
        <f>'Realisasi Juli'!G176</f>
        <v>1759418014</v>
      </c>
      <c r="G179" s="192">
        <v>183247005</v>
      </c>
      <c r="H179" s="192">
        <f t="shared" si="71"/>
        <v>1942665019</v>
      </c>
      <c r="I179" s="361">
        <f t="shared" si="66"/>
        <v>0.93068930744392386</v>
      </c>
      <c r="J179" s="24">
        <f t="shared" si="60"/>
        <v>0.78917511049544209</v>
      </c>
      <c r="K179" s="207"/>
      <c r="L179" s="175"/>
      <c r="N179" s="3"/>
    </row>
    <row r="180" spans="1:14" s="176" customFormat="1" x14ac:dyDescent="0.25">
      <c r="A180" s="188"/>
      <c r="B180" s="178"/>
      <c r="C180" s="171" t="s">
        <v>120</v>
      </c>
      <c r="D180" s="192">
        <v>132600000</v>
      </c>
      <c r="E180" s="192">
        <v>156000000</v>
      </c>
      <c r="F180" s="192">
        <f>'Realisasi Juli'!G177</f>
        <v>103108200</v>
      </c>
      <c r="G180" s="192">
        <v>12480000</v>
      </c>
      <c r="H180" s="192">
        <f t="shared" si="71"/>
        <v>115588200</v>
      </c>
      <c r="I180" s="361">
        <f t="shared" si="66"/>
        <v>0.87170588235294122</v>
      </c>
      <c r="J180" s="24">
        <f t="shared" si="60"/>
        <v>0.74095</v>
      </c>
      <c r="K180" s="207"/>
      <c r="L180" s="175"/>
      <c r="N180" s="3"/>
    </row>
    <row r="181" spans="1:14" s="176" customFormat="1" x14ac:dyDescent="0.25">
      <c r="A181" s="188"/>
      <c r="B181" s="178"/>
      <c r="C181" s="185" t="s">
        <v>125</v>
      </c>
      <c r="D181" s="191">
        <f>SUM(D182:D183)</f>
        <v>31531500000</v>
      </c>
      <c r="E181" s="191">
        <f>SUM(E182:E183)</f>
        <v>62996250000</v>
      </c>
      <c r="F181" s="191">
        <f t="shared" ref="F181:H181" si="72">SUM(F182:F183)</f>
        <v>62372269600</v>
      </c>
      <c r="G181" s="191">
        <f t="shared" si="72"/>
        <v>1083134300</v>
      </c>
      <c r="H181" s="191">
        <f t="shared" si="72"/>
        <v>63455403900</v>
      </c>
      <c r="I181" s="359">
        <f t="shared" si="66"/>
        <v>2.0124448218448219</v>
      </c>
      <c r="J181" s="236">
        <f t="shared" si="60"/>
        <v>1.0072885909875589</v>
      </c>
      <c r="K181" s="207"/>
      <c r="L181" s="175"/>
      <c r="N181" s="3"/>
    </row>
    <row r="182" spans="1:14" s="176" customFormat="1" x14ac:dyDescent="0.25">
      <c r="A182" s="188"/>
      <c r="B182" s="178"/>
      <c r="C182" s="171" t="s">
        <v>117</v>
      </c>
      <c r="D182" s="192">
        <v>31500000</v>
      </c>
      <c r="E182" s="192">
        <v>96250000</v>
      </c>
      <c r="F182" s="192">
        <f>'Realisasi Juli'!G179</f>
        <v>89200600</v>
      </c>
      <c r="G182" s="192">
        <v>0</v>
      </c>
      <c r="H182" s="192">
        <f>F182+G182</f>
        <v>89200600</v>
      </c>
      <c r="I182" s="361">
        <f t="shared" si="66"/>
        <v>2.8317650793650793</v>
      </c>
      <c r="J182" s="24">
        <f t="shared" si="60"/>
        <v>0.92675948051948054</v>
      </c>
      <c r="K182" s="207"/>
      <c r="L182" s="175"/>
      <c r="N182" s="3"/>
    </row>
    <row r="183" spans="1:14" s="176" customFormat="1" x14ac:dyDescent="0.25">
      <c r="A183" s="188"/>
      <c r="B183" s="178"/>
      <c r="C183" s="171" t="s">
        <v>118</v>
      </c>
      <c r="D183" s="192">
        <v>31500000000</v>
      </c>
      <c r="E183" s="192">
        <v>62900000000</v>
      </c>
      <c r="F183" s="192">
        <f>'Realisasi Juli'!G180</f>
        <v>62283069000</v>
      </c>
      <c r="G183" s="192">
        <v>1083134300</v>
      </c>
      <c r="H183" s="192">
        <f>F183+G183</f>
        <v>63366203300</v>
      </c>
      <c r="I183" s="361">
        <f t="shared" si="66"/>
        <v>2.0116255015873015</v>
      </c>
      <c r="J183" s="24">
        <f t="shared" si="60"/>
        <v>1.0074118171701112</v>
      </c>
      <c r="K183" s="207"/>
      <c r="L183" s="175"/>
      <c r="M183" s="270"/>
      <c r="N183" s="3"/>
    </row>
    <row r="184" spans="1:14" s="176" customFormat="1" x14ac:dyDescent="0.25">
      <c r="A184" s="188"/>
      <c r="B184" s="178"/>
      <c r="C184" s="185" t="s">
        <v>126</v>
      </c>
      <c r="D184" s="191">
        <f>SUM(D185:D187)</f>
        <v>3381016000</v>
      </c>
      <c r="E184" s="191">
        <f>SUM(E185:E187)</f>
        <v>3270668000</v>
      </c>
      <c r="F184" s="192">
        <f>'Realisasi Juli'!G181</f>
        <v>2760310691</v>
      </c>
      <c r="G184" s="191">
        <f t="shared" ref="G184:H184" si="73">SUM(G185:G187)</f>
        <v>470924939</v>
      </c>
      <c r="H184" s="191">
        <f t="shared" si="73"/>
        <v>3231235630</v>
      </c>
      <c r="I184" s="359">
        <f t="shared" si="66"/>
        <v>0.95569959739912502</v>
      </c>
      <c r="J184" s="236">
        <f t="shared" si="60"/>
        <v>0.98794363414446218</v>
      </c>
      <c r="K184" s="207"/>
      <c r="L184" s="175"/>
      <c r="N184" s="3"/>
    </row>
    <row r="185" spans="1:14" s="176" customFormat="1" x14ac:dyDescent="0.25">
      <c r="A185" s="188"/>
      <c r="B185" s="178"/>
      <c r="C185" s="171" t="s">
        <v>117</v>
      </c>
      <c r="D185" s="192">
        <v>644736000</v>
      </c>
      <c r="E185" s="192">
        <v>583188000</v>
      </c>
      <c r="F185" s="192">
        <f>'Realisasi Juli'!G182</f>
        <v>396314060</v>
      </c>
      <c r="G185" s="192">
        <v>45689035</v>
      </c>
      <c r="H185" s="192">
        <f>F185+G185</f>
        <v>442003095</v>
      </c>
      <c r="I185" s="361">
        <f t="shared" si="66"/>
        <v>0.68555671623734371</v>
      </c>
      <c r="J185" s="24">
        <f t="shared" si="60"/>
        <v>0.75790841889750815</v>
      </c>
      <c r="K185" s="207" t="s">
        <v>127</v>
      </c>
      <c r="L185" s="175"/>
    </row>
    <row r="186" spans="1:14" s="176" customFormat="1" x14ac:dyDescent="0.25">
      <c r="A186" s="188"/>
      <c r="B186" s="178"/>
      <c r="C186" s="171" t="s">
        <v>118</v>
      </c>
      <c r="D186" s="192">
        <v>2080780000</v>
      </c>
      <c r="E186" s="192">
        <v>2192520000</v>
      </c>
      <c r="F186" s="192">
        <f>'Realisasi Juli'!G183</f>
        <v>1919494093</v>
      </c>
      <c r="G186" s="192">
        <v>330213585</v>
      </c>
      <c r="H186" s="192">
        <f t="shared" ref="H186:H187" si="74">F186+G186</f>
        <v>2249707678</v>
      </c>
      <c r="I186" s="361">
        <f t="shared" si="66"/>
        <v>1.0811847855131249</v>
      </c>
      <c r="J186" s="24">
        <f t="shared" si="60"/>
        <v>1.0260830815682411</v>
      </c>
      <c r="K186" s="207"/>
      <c r="L186" s="175"/>
    </row>
    <row r="187" spans="1:14" s="176" customFormat="1" x14ac:dyDescent="0.25">
      <c r="A187" s="188"/>
      <c r="B187" s="178"/>
      <c r="C187" s="171" t="s">
        <v>128</v>
      </c>
      <c r="D187" s="192">
        <v>655500000</v>
      </c>
      <c r="E187" s="192">
        <v>494960000</v>
      </c>
      <c r="F187" s="192">
        <f>'Realisasi Juli'!G184</f>
        <v>444502538</v>
      </c>
      <c r="G187" s="192">
        <v>95022319</v>
      </c>
      <c r="H187" s="192">
        <f t="shared" si="74"/>
        <v>539524857</v>
      </c>
      <c r="I187" s="361">
        <f t="shared" si="66"/>
        <v>0.82307377116704805</v>
      </c>
      <c r="J187" s="24">
        <f t="shared" si="60"/>
        <v>1.0900372898820108</v>
      </c>
      <c r="K187" s="207"/>
      <c r="L187" s="175"/>
    </row>
    <row r="188" spans="1:14" s="176" customFormat="1" x14ac:dyDescent="0.25">
      <c r="A188" s="169"/>
      <c r="B188" s="178"/>
      <c r="C188" s="185" t="s">
        <v>129</v>
      </c>
      <c r="D188" s="191">
        <f>SUM(D189:D190)</f>
        <v>3861588000</v>
      </c>
      <c r="E188" s="191">
        <f>SUM(E189:E190)</f>
        <v>2397579000</v>
      </c>
      <c r="F188" s="191">
        <f t="shared" ref="F188:H188" si="75">SUM(F189:F190)</f>
        <v>784783443</v>
      </c>
      <c r="G188" s="191">
        <f t="shared" si="75"/>
        <v>0</v>
      </c>
      <c r="H188" s="191">
        <f t="shared" si="75"/>
        <v>784783443</v>
      </c>
      <c r="I188" s="359">
        <f t="shared" si="66"/>
        <v>0.20322816494146967</v>
      </c>
      <c r="J188" s="236">
        <f t="shared" si="60"/>
        <v>0.32732328861739279</v>
      </c>
      <c r="K188" s="207"/>
      <c r="L188" s="175"/>
    </row>
    <row r="189" spans="1:14" s="176" customFormat="1" x14ac:dyDescent="0.25">
      <c r="A189" s="188"/>
      <c r="B189" s="178"/>
      <c r="C189" s="171" t="s">
        <v>117</v>
      </c>
      <c r="D189" s="192">
        <v>60588000</v>
      </c>
      <c r="E189" s="192">
        <v>57579000</v>
      </c>
      <c r="F189" s="192">
        <f>'Realisasi Juli'!G186</f>
        <v>121477456</v>
      </c>
      <c r="G189" s="192"/>
      <c r="H189" s="192">
        <f>F189+G189</f>
        <v>121477456</v>
      </c>
      <c r="I189" s="361">
        <f t="shared" si="66"/>
        <v>2.0049755067009971</v>
      </c>
      <c r="J189" s="24">
        <f t="shared" si="60"/>
        <v>2.1097527918164607</v>
      </c>
      <c r="K189" s="207"/>
      <c r="L189" s="175"/>
    </row>
    <row r="190" spans="1:14" s="176" customFormat="1" x14ac:dyDescent="0.25">
      <c r="A190" s="188"/>
      <c r="B190" s="178"/>
      <c r="C190" s="171" t="s">
        <v>118</v>
      </c>
      <c r="D190" s="192">
        <v>3801000000</v>
      </c>
      <c r="E190" s="192">
        <v>2340000000</v>
      </c>
      <c r="F190" s="192">
        <f>'Realisasi Juli'!G187</f>
        <v>663305987</v>
      </c>
      <c r="G190" s="192"/>
      <c r="H190" s="192">
        <f>F190+G190</f>
        <v>663305987</v>
      </c>
      <c r="I190" s="361">
        <f t="shared" si="66"/>
        <v>0.17450828387266509</v>
      </c>
      <c r="J190" s="24">
        <f t="shared" si="60"/>
        <v>0.28346409700854702</v>
      </c>
      <c r="K190" s="207"/>
      <c r="L190" s="175"/>
    </row>
    <row r="191" spans="1:14" s="176" customFormat="1" x14ac:dyDescent="0.25">
      <c r="A191" s="188"/>
      <c r="B191" s="178"/>
      <c r="C191" s="185" t="s">
        <v>130</v>
      </c>
      <c r="D191" s="191">
        <f>SUM(D192:D193)</f>
        <v>249113200</v>
      </c>
      <c r="E191" s="191">
        <f>SUM(E192:E193)</f>
        <v>0</v>
      </c>
      <c r="F191" s="191">
        <f t="shared" ref="F191:H191" si="76">SUM(F192:F193)</f>
        <v>0</v>
      </c>
      <c r="G191" s="191">
        <f t="shared" si="76"/>
        <v>0</v>
      </c>
      <c r="H191" s="191">
        <f t="shared" si="76"/>
        <v>0</v>
      </c>
      <c r="I191" s="359">
        <f t="shared" si="66"/>
        <v>0</v>
      </c>
      <c r="J191" s="236" t="e">
        <f t="shared" si="60"/>
        <v>#DIV/0!</v>
      </c>
      <c r="K191" s="207"/>
      <c r="L191" s="175"/>
    </row>
    <row r="192" spans="1:14" s="176" customFormat="1" x14ac:dyDescent="0.25">
      <c r="A192" s="188"/>
      <c r="B192" s="178"/>
      <c r="C192" s="171" t="s">
        <v>117</v>
      </c>
      <c r="D192" s="192">
        <v>554500</v>
      </c>
      <c r="E192" s="192">
        <v>0</v>
      </c>
      <c r="F192" s="192">
        <f>'Realisasi Juli'!G189</f>
        <v>0</v>
      </c>
      <c r="G192" s="192"/>
      <c r="H192" s="192">
        <f>F192+G192</f>
        <v>0</v>
      </c>
      <c r="I192" s="361">
        <f t="shared" si="66"/>
        <v>0</v>
      </c>
      <c r="J192" s="24" t="e">
        <f t="shared" si="60"/>
        <v>#DIV/0!</v>
      </c>
      <c r="K192" s="207"/>
      <c r="L192" s="175"/>
    </row>
    <row r="193" spans="1:14" s="176" customFormat="1" x14ac:dyDescent="0.25">
      <c r="A193" s="188"/>
      <c r="B193" s="178"/>
      <c r="C193" s="171" t="s">
        <v>118</v>
      </c>
      <c r="D193" s="192">
        <v>248558700</v>
      </c>
      <c r="E193" s="192">
        <v>0</v>
      </c>
      <c r="F193" s="192">
        <f>'Realisasi Juli'!G190</f>
        <v>0</v>
      </c>
      <c r="G193" s="192"/>
      <c r="H193" s="192">
        <f>F193+G193</f>
        <v>0</v>
      </c>
      <c r="I193" s="361">
        <f t="shared" si="66"/>
        <v>0</v>
      </c>
      <c r="J193" s="24" t="e">
        <f t="shared" si="60"/>
        <v>#DIV/0!</v>
      </c>
      <c r="K193" s="207"/>
      <c r="L193" s="175"/>
    </row>
    <row r="194" spans="1:14" s="176" customFormat="1" x14ac:dyDescent="0.25">
      <c r="A194" s="188"/>
      <c r="B194" s="178"/>
      <c r="C194" s="185" t="s">
        <v>131</v>
      </c>
      <c r="D194" s="191">
        <f>SUM(D195:D196)</f>
        <v>90525000</v>
      </c>
      <c r="E194" s="191">
        <f>SUM(E195:E196)</f>
        <v>90525000</v>
      </c>
      <c r="F194" s="191">
        <f t="shared" ref="F194:H194" si="77">SUM(F195:F196)</f>
        <v>309809211</v>
      </c>
      <c r="G194" s="191">
        <f t="shared" si="77"/>
        <v>0</v>
      </c>
      <c r="H194" s="191">
        <f t="shared" si="77"/>
        <v>309809211</v>
      </c>
      <c r="I194" s="359">
        <f t="shared" si="66"/>
        <v>3.4223607953603978</v>
      </c>
      <c r="J194" s="236">
        <f t="shared" si="60"/>
        <v>3.4223607953603978</v>
      </c>
      <c r="K194" s="207"/>
      <c r="L194" s="175"/>
    </row>
    <row r="195" spans="1:14" s="176" customFormat="1" x14ac:dyDescent="0.25">
      <c r="A195" s="188"/>
      <c r="B195" s="178"/>
      <c r="C195" s="171" t="s">
        <v>117</v>
      </c>
      <c r="D195" s="192">
        <v>525000</v>
      </c>
      <c r="E195" s="192">
        <v>525000</v>
      </c>
      <c r="F195" s="192">
        <f>'Realisasi Juli'!G192</f>
        <v>3549441</v>
      </c>
      <c r="G195" s="192"/>
      <c r="H195" s="192">
        <f>F195+G195</f>
        <v>3549441</v>
      </c>
      <c r="I195" s="361">
        <f t="shared" si="66"/>
        <v>6.76084</v>
      </c>
      <c r="J195" s="24">
        <f t="shared" si="60"/>
        <v>6.76084</v>
      </c>
      <c r="K195" s="207"/>
      <c r="L195" s="175"/>
    </row>
    <row r="196" spans="1:14" s="176" customFormat="1" x14ac:dyDescent="0.25">
      <c r="A196" s="188"/>
      <c r="B196" s="178"/>
      <c r="C196" s="171" t="s">
        <v>118</v>
      </c>
      <c r="D196" s="192">
        <v>90000000</v>
      </c>
      <c r="E196" s="192">
        <v>90000000</v>
      </c>
      <c r="F196" s="192">
        <f>'Realisasi Juli'!G193</f>
        <v>306259770</v>
      </c>
      <c r="G196" s="192"/>
      <c r="H196" s="192">
        <f>F196+G196</f>
        <v>306259770</v>
      </c>
      <c r="I196" s="361">
        <f t="shared" si="66"/>
        <v>3.4028863333333335</v>
      </c>
      <c r="J196" s="24">
        <f t="shared" si="60"/>
        <v>3.4028863333333335</v>
      </c>
      <c r="K196" s="207"/>
      <c r="L196" s="175"/>
    </row>
    <row r="197" spans="1:14" s="176" customFormat="1" x14ac:dyDescent="0.25">
      <c r="A197" s="188"/>
      <c r="B197" s="178"/>
      <c r="C197" s="185" t="s">
        <v>132</v>
      </c>
      <c r="D197" s="191">
        <f>SUM(D198:D200)</f>
        <v>732799800</v>
      </c>
      <c r="E197" s="191">
        <f>SUM(E198:E200)</f>
        <v>510012841</v>
      </c>
      <c r="F197" s="191">
        <f t="shared" ref="F197:H197" si="78">SUM(F198:F200)</f>
        <v>360020000</v>
      </c>
      <c r="G197" s="191">
        <f t="shared" si="78"/>
        <v>7800000</v>
      </c>
      <c r="H197" s="191">
        <f t="shared" si="78"/>
        <v>367820000</v>
      </c>
      <c r="I197" s="359">
        <f t="shared" si="66"/>
        <v>0.50193790991755183</v>
      </c>
      <c r="J197" s="236">
        <f t="shared" si="60"/>
        <v>0.7211975276520538</v>
      </c>
      <c r="K197" s="207"/>
      <c r="L197" s="175"/>
    </row>
    <row r="198" spans="1:14" s="176" customFormat="1" x14ac:dyDescent="0.25">
      <c r="A198" s="188"/>
      <c r="B198" s="178"/>
      <c r="C198" s="171" t="s">
        <v>133</v>
      </c>
      <c r="D198" s="192">
        <v>0</v>
      </c>
      <c r="E198" s="192"/>
      <c r="F198" s="192">
        <f>'Realisasi Juli'!G195</f>
        <v>0</v>
      </c>
      <c r="G198" s="192"/>
      <c r="H198" s="192">
        <f>F198+G198</f>
        <v>0</v>
      </c>
      <c r="I198" s="361"/>
      <c r="J198" s="236"/>
      <c r="K198" s="207"/>
      <c r="L198" s="175"/>
    </row>
    <row r="199" spans="1:14" s="176" customFormat="1" x14ac:dyDescent="0.25">
      <c r="A199" s="188"/>
      <c r="B199" s="178"/>
      <c r="C199" s="171" t="s">
        <v>134</v>
      </c>
      <c r="D199" s="192">
        <v>28000000</v>
      </c>
      <c r="E199" s="192">
        <v>80012841</v>
      </c>
      <c r="F199" s="192">
        <f>'Realisasi Juli'!G196</f>
        <v>63000000</v>
      </c>
      <c r="G199" s="192">
        <v>7100000</v>
      </c>
      <c r="H199" s="192">
        <f t="shared" ref="H199:H200" si="79">F199+G199</f>
        <v>70100000</v>
      </c>
      <c r="I199" s="361">
        <f>H199/D199</f>
        <v>2.5035714285714286</v>
      </c>
      <c r="J199" s="24">
        <f t="shared" si="60"/>
        <v>0.87610937349418705</v>
      </c>
      <c r="K199" s="207" t="s">
        <v>135</v>
      </c>
      <c r="L199" s="175"/>
    </row>
    <row r="200" spans="1:14" s="176" customFormat="1" x14ac:dyDescent="0.25">
      <c r="A200" s="188"/>
      <c r="B200" s="178"/>
      <c r="C200" s="171" t="s">
        <v>136</v>
      </c>
      <c r="D200" s="192">
        <v>704799800</v>
      </c>
      <c r="E200" s="192">
        <v>430000000</v>
      </c>
      <c r="F200" s="192">
        <f>'Realisasi Juli'!G197</f>
        <v>297020000</v>
      </c>
      <c r="G200" s="192">
        <v>700000</v>
      </c>
      <c r="H200" s="192">
        <f t="shared" si="79"/>
        <v>297720000</v>
      </c>
      <c r="I200" s="361">
        <f>H200/D200</f>
        <v>0.42241782701981473</v>
      </c>
      <c r="J200" s="24">
        <f t="shared" si="60"/>
        <v>0.69237209302325586</v>
      </c>
      <c r="K200" s="207"/>
      <c r="L200" s="175"/>
    </row>
    <row r="201" spans="1:14" s="176" customFormat="1" x14ac:dyDescent="0.25">
      <c r="A201" s="188"/>
      <c r="B201" s="178"/>
      <c r="C201" s="185" t="s">
        <v>137</v>
      </c>
      <c r="D201" s="191">
        <f>SUM(D202:D203)</f>
        <v>187800000</v>
      </c>
      <c r="E201" s="191">
        <f>SUM(E202:E203)</f>
        <v>150000000</v>
      </c>
      <c r="F201" s="191">
        <f t="shared" ref="F201:H201" si="80">SUM(F202:F203)</f>
        <v>200188092</v>
      </c>
      <c r="G201" s="191">
        <f t="shared" si="80"/>
        <v>18467206</v>
      </c>
      <c r="H201" s="191">
        <f t="shared" si="80"/>
        <v>218655298</v>
      </c>
      <c r="I201" s="359">
        <f>H201/D201</f>
        <v>1.1642987113951011</v>
      </c>
      <c r="J201" s="236">
        <f t="shared" si="60"/>
        <v>1.4577019866666667</v>
      </c>
      <c r="K201" s="207"/>
      <c r="L201" s="175"/>
    </row>
    <row r="202" spans="1:14" s="176" customFormat="1" x14ac:dyDescent="0.25">
      <c r="A202" s="188"/>
      <c r="B202" s="178"/>
      <c r="C202" s="171" t="s">
        <v>138</v>
      </c>
      <c r="D202" s="192">
        <v>133800000</v>
      </c>
      <c r="E202" s="192">
        <v>150000000</v>
      </c>
      <c r="F202" s="192">
        <f>'Realisasi Juli'!G199</f>
        <v>200188092</v>
      </c>
      <c r="G202" s="192">
        <v>18467206</v>
      </c>
      <c r="H202" s="192">
        <f>F202+G202</f>
        <v>218655298</v>
      </c>
      <c r="I202" s="361">
        <f>H202/D202</f>
        <v>1.6341950523168909</v>
      </c>
      <c r="J202" s="24">
        <f t="shared" si="60"/>
        <v>1.4577019866666667</v>
      </c>
      <c r="K202" s="207" t="s">
        <v>139</v>
      </c>
      <c r="L202" s="175"/>
    </row>
    <row r="203" spans="1:14" s="176" customFormat="1" x14ac:dyDescent="0.25">
      <c r="A203" s="188"/>
      <c r="B203" s="178"/>
      <c r="C203" s="171" t="s">
        <v>140</v>
      </c>
      <c r="D203" s="192">
        <v>54000000</v>
      </c>
      <c r="E203" s="192">
        <v>0</v>
      </c>
      <c r="F203" s="192">
        <f>'Realisasi Juli'!G200</f>
        <v>0</v>
      </c>
      <c r="G203" s="192"/>
      <c r="H203" s="192">
        <f>F203+G203</f>
        <v>0</v>
      </c>
      <c r="I203" s="361">
        <f>H203/D203</f>
        <v>0</v>
      </c>
      <c r="J203" s="24" t="e">
        <f t="shared" si="60"/>
        <v>#DIV/0!</v>
      </c>
      <c r="K203" s="207"/>
      <c r="L203" s="175"/>
    </row>
    <row r="204" spans="1:14" s="176" customFormat="1" x14ac:dyDescent="0.25">
      <c r="A204" s="188"/>
      <c r="B204" s="178"/>
      <c r="C204" s="171"/>
      <c r="D204" s="192"/>
      <c r="E204" s="192"/>
      <c r="F204" s="192"/>
      <c r="G204" s="192"/>
      <c r="H204" s="191"/>
      <c r="I204" s="359"/>
      <c r="J204" s="236"/>
      <c r="K204" s="207"/>
      <c r="L204" s="175"/>
    </row>
    <row r="205" spans="1:14" s="176" customFormat="1" x14ac:dyDescent="0.25">
      <c r="A205" s="168" t="s">
        <v>452</v>
      </c>
      <c r="B205" s="22" t="s">
        <v>306</v>
      </c>
      <c r="C205" s="185" t="s">
        <v>75</v>
      </c>
      <c r="D205" s="191">
        <f>SUM(D206)</f>
        <v>14496560466</v>
      </c>
      <c r="E205" s="191">
        <f>SUM(E206)</f>
        <v>14221114110</v>
      </c>
      <c r="F205" s="191">
        <f t="shared" ref="F205:H205" si="81">SUM(F206)</f>
        <v>7885247914.3000002</v>
      </c>
      <c r="G205" s="191">
        <f t="shared" si="81"/>
        <v>1196833942.6499999</v>
      </c>
      <c r="H205" s="191">
        <f t="shared" si="81"/>
        <v>9082081856.9500008</v>
      </c>
      <c r="I205" s="359">
        <f t="shared" ref="I205:I217" si="82">H205/D205</f>
        <v>0.62649908426560696</v>
      </c>
      <c r="J205" s="236">
        <f t="shared" si="60"/>
        <v>0.63863363915796612</v>
      </c>
      <c r="K205" s="207" t="s">
        <v>141</v>
      </c>
      <c r="L205" s="175"/>
    </row>
    <row r="206" spans="1:14" s="176" customFormat="1" x14ac:dyDescent="0.25">
      <c r="A206" s="188"/>
      <c r="B206" s="189" t="s">
        <v>340</v>
      </c>
      <c r="C206" s="185" t="s">
        <v>341</v>
      </c>
      <c r="D206" s="191">
        <f>D207</f>
        <v>14496560466</v>
      </c>
      <c r="E206" s="191">
        <f>E207</f>
        <v>14221114110</v>
      </c>
      <c r="F206" s="191">
        <f>F207</f>
        <v>7885247914.3000002</v>
      </c>
      <c r="G206" s="191">
        <f t="shared" ref="G206:H206" si="83">G207</f>
        <v>1196833942.6499999</v>
      </c>
      <c r="H206" s="191">
        <f t="shared" si="83"/>
        <v>9082081856.9500008</v>
      </c>
      <c r="I206" s="359">
        <f t="shared" si="82"/>
        <v>0.62649908426560696</v>
      </c>
      <c r="J206" s="236">
        <f t="shared" si="60"/>
        <v>0.63863363915796612</v>
      </c>
      <c r="K206" s="207" t="s">
        <v>143</v>
      </c>
      <c r="L206" s="294"/>
      <c r="M206" s="295"/>
      <c r="N206" s="295"/>
    </row>
    <row r="207" spans="1:14" s="176" customFormat="1" x14ac:dyDescent="0.25">
      <c r="A207" s="188"/>
      <c r="B207" s="178"/>
      <c r="C207" s="172" t="s">
        <v>142</v>
      </c>
      <c r="D207" s="191">
        <f>SUM(D208:D217)</f>
        <v>14496560466</v>
      </c>
      <c r="E207" s="191">
        <f>SUM(E208:E217)</f>
        <v>14221114110</v>
      </c>
      <c r="F207" s="191">
        <f>SUM(F208:F217)</f>
        <v>7885247914.3000002</v>
      </c>
      <c r="G207" s="191">
        <f t="shared" ref="G207:H207" si="84">SUM(G208:G217)</f>
        <v>1196833942.6499999</v>
      </c>
      <c r="H207" s="191">
        <f t="shared" si="84"/>
        <v>9082081856.9500008</v>
      </c>
      <c r="I207" s="359">
        <f t="shared" si="82"/>
        <v>0.62649908426560696</v>
      </c>
      <c r="J207" s="236">
        <f t="shared" ref="J207:J270" si="85">H207/E207</f>
        <v>0.63863363915796612</v>
      </c>
      <c r="K207" s="207"/>
      <c r="L207" s="294"/>
      <c r="M207" s="295"/>
      <c r="N207" s="295"/>
    </row>
    <row r="208" spans="1:14" s="176" customFormat="1" x14ac:dyDescent="0.25">
      <c r="A208" s="188"/>
      <c r="B208" s="178"/>
      <c r="C208" s="171" t="s">
        <v>144</v>
      </c>
      <c r="D208" s="192">
        <v>1873243500</v>
      </c>
      <c r="E208" s="192">
        <v>1799030500</v>
      </c>
      <c r="F208" s="192">
        <f>'Realisasi Juli'!G205</f>
        <v>914943612.77999997</v>
      </c>
      <c r="G208" s="192">
        <v>145039617.28999999</v>
      </c>
      <c r="H208" s="192">
        <f>F208+G208</f>
        <v>1059983230.0699999</v>
      </c>
      <c r="I208" s="361">
        <f t="shared" si="82"/>
        <v>0.56585448184926301</v>
      </c>
      <c r="J208" s="24">
        <f t="shared" si="85"/>
        <v>0.58919692026900039</v>
      </c>
      <c r="K208" s="207" t="s">
        <v>145</v>
      </c>
      <c r="L208" s="294"/>
      <c r="M208" s="296"/>
      <c r="N208" s="295"/>
    </row>
    <row r="209" spans="1:14" s="176" customFormat="1" x14ac:dyDescent="0.25">
      <c r="A209" s="188"/>
      <c r="B209" s="178"/>
      <c r="C209" s="171" t="s">
        <v>146</v>
      </c>
      <c r="D209" s="192">
        <v>1100000000</v>
      </c>
      <c r="E209" s="192">
        <v>1055000000</v>
      </c>
      <c r="F209" s="192">
        <f>'Realisasi Juli'!G206</f>
        <v>574948104.55999994</v>
      </c>
      <c r="G209" s="192">
        <v>93334165.239999995</v>
      </c>
      <c r="H209" s="192">
        <f t="shared" ref="H209:H217" si="86">F209+G209</f>
        <v>668282269.79999995</v>
      </c>
      <c r="I209" s="361">
        <f t="shared" si="82"/>
        <v>0.60752933618181815</v>
      </c>
      <c r="J209" s="24">
        <f t="shared" si="85"/>
        <v>0.63344290976303308</v>
      </c>
      <c r="K209" s="207"/>
      <c r="L209" s="294"/>
      <c r="M209" s="296"/>
      <c r="N209" s="295"/>
    </row>
    <row r="210" spans="1:14" s="176" customFormat="1" x14ac:dyDescent="0.25">
      <c r="A210" s="188"/>
      <c r="B210" s="178"/>
      <c r="C210" s="171" t="s">
        <v>147</v>
      </c>
      <c r="D210" s="192">
        <v>1400000000</v>
      </c>
      <c r="E210" s="192">
        <v>1300000000</v>
      </c>
      <c r="F210" s="192">
        <f>'Realisasi Juli'!G207</f>
        <v>724292443.68999994</v>
      </c>
      <c r="G210" s="192">
        <v>118561608.62</v>
      </c>
      <c r="H210" s="192">
        <f t="shared" si="86"/>
        <v>842854052.30999994</v>
      </c>
      <c r="I210" s="361">
        <f t="shared" si="82"/>
        <v>0.60203860879285709</v>
      </c>
      <c r="J210" s="24">
        <f t="shared" si="85"/>
        <v>0.64834927100769224</v>
      </c>
      <c r="K210" s="207" t="s">
        <v>148</v>
      </c>
      <c r="L210" s="294"/>
      <c r="M210" s="296"/>
      <c r="N210" s="295"/>
    </row>
    <row r="211" spans="1:14" s="176" customFormat="1" x14ac:dyDescent="0.25">
      <c r="A211" s="188"/>
      <c r="B211" s="178"/>
      <c r="C211" s="171" t="s">
        <v>149</v>
      </c>
      <c r="D211" s="192">
        <v>2361598960</v>
      </c>
      <c r="E211" s="192">
        <v>2298598960</v>
      </c>
      <c r="F211" s="192">
        <f>'Realisasi Juli'!G208</f>
        <v>1293586459.8900001</v>
      </c>
      <c r="G211" s="192">
        <v>191035624.91</v>
      </c>
      <c r="H211" s="192">
        <f t="shared" si="86"/>
        <v>1484622084.8000002</v>
      </c>
      <c r="I211" s="361">
        <f t="shared" si="82"/>
        <v>0.62865122738705825</v>
      </c>
      <c r="J211" s="24">
        <f t="shared" si="85"/>
        <v>0.6458813001464162</v>
      </c>
      <c r="K211" s="207" t="s">
        <v>150</v>
      </c>
      <c r="L211" s="294"/>
      <c r="M211" s="296"/>
      <c r="N211" s="295"/>
    </row>
    <row r="212" spans="1:14" s="176" customFormat="1" x14ac:dyDescent="0.25">
      <c r="A212" s="188"/>
      <c r="B212" s="178"/>
      <c r="C212" s="171" t="s">
        <v>151</v>
      </c>
      <c r="D212" s="192">
        <v>922500000</v>
      </c>
      <c r="E212" s="192">
        <v>922500000</v>
      </c>
      <c r="F212" s="181">
        <f>'Realisasi Juli'!G209</f>
        <v>519725810.17000002</v>
      </c>
      <c r="G212" s="181">
        <v>76368311.659999996</v>
      </c>
      <c r="H212" s="192">
        <f t="shared" si="86"/>
        <v>596094121.83000004</v>
      </c>
      <c r="I212" s="361">
        <f t="shared" si="82"/>
        <v>0.64617248978861797</v>
      </c>
      <c r="J212" s="24">
        <f t="shared" si="85"/>
        <v>0.64617248978861797</v>
      </c>
      <c r="K212" s="207" t="s">
        <v>152</v>
      </c>
      <c r="L212" s="294"/>
      <c r="M212" s="296"/>
      <c r="N212" s="295"/>
    </row>
    <row r="213" spans="1:14" s="176" customFormat="1" x14ac:dyDescent="0.25">
      <c r="A213" s="188"/>
      <c r="B213" s="178"/>
      <c r="C213" s="171" t="s">
        <v>153</v>
      </c>
      <c r="D213" s="192">
        <v>1105404000</v>
      </c>
      <c r="E213" s="192">
        <v>1105404000</v>
      </c>
      <c r="F213" s="192">
        <f>'Realisasi Juli'!G210</f>
        <v>642076009.89999998</v>
      </c>
      <c r="G213" s="192">
        <v>91628532.150000006</v>
      </c>
      <c r="H213" s="192">
        <f t="shared" si="86"/>
        <v>733704542.04999995</v>
      </c>
      <c r="I213" s="361">
        <f t="shared" si="82"/>
        <v>0.66374333913211814</v>
      </c>
      <c r="J213" s="24">
        <f t="shared" si="85"/>
        <v>0.66374333913211814</v>
      </c>
      <c r="K213" s="207"/>
      <c r="L213" s="294"/>
      <c r="M213" s="296"/>
      <c r="N213" s="295"/>
    </row>
    <row r="214" spans="1:14" s="176" customFormat="1" x14ac:dyDescent="0.25">
      <c r="A214" s="188"/>
      <c r="B214" s="178"/>
      <c r="C214" s="171" t="s">
        <v>154</v>
      </c>
      <c r="D214" s="192">
        <v>551536356</v>
      </c>
      <c r="E214" s="192">
        <v>609500000</v>
      </c>
      <c r="F214" s="192">
        <f>'Realisasi Juli'!G211</f>
        <v>349889823.46000004</v>
      </c>
      <c r="G214" s="181">
        <v>54518726.030000001</v>
      </c>
      <c r="H214" s="192">
        <f t="shared" si="86"/>
        <v>404408549.49000001</v>
      </c>
      <c r="I214" s="361">
        <f t="shared" si="82"/>
        <v>0.73324005768714906</v>
      </c>
      <c r="J214" s="24">
        <f t="shared" si="85"/>
        <v>0.66350869481542252</v>
      </c>
      <c r="K214" s="207" t="s">
        <v>155</v>
      </c>
      <c r="L214" s="294"/>
      <c r="M214" s="296"/>
      <c r="N214" s="295"/>
    </row>
    <row r="215" spans="1:14" s="176" customFormat="1" x14ac:dyDescent="0.25">
      <c r="A215" s="188"/>
      <c r="B215" s="178"/>
      <c r="C215" s="171" t="s">
        <v>156</v>
      </c>
      <c r="D215" s="192">
        <v>2380000000</v>
      </c>
      <c r="E215" s="192">
        <v>2380000000</v>
      </c>
      <c r="F215" s="192">
        <f>'Realisasi Juli'!G212</f>
        <v>1374623563.3</v>
      </c>
      <c r="G215" s="181">
        <v>200999209.61000001</v>
      </c>
      <c r="H215" s="192">
        <f t="shared" si="86"/>
        <v>1575622772.9099998</v>
      </c>
      <c r="I215" s="361">
        <f t="shared" si="82"/>
        <v>0.66202637517226881</v>
      </c>
      <c r="J215" s="24">
        <f t="shared" si="85"/>
        <v>0.66202637517226881</v>
      </c>
      <c r="K215" s="207" t="s">
        <v>157</v>
      </c>
      <c r="L215" s="294"/>
      <c r="M215" s="296"/>
      <c r="N215" s="295"/>
    </row>
    <row r="216" spans="1:14" s="176" customFormat="1" x14ac:dyDescent="0.25">
      <c r="A216" s="188"/>
      <c r="B216" s="178"/>
      <c r="C216" s="171" t="s">
        <v>158</v>
      </c>
      <c r="D216" s="192">
        <v>1048195000</v>
      </c>
      <c r="E216" s="192">
        <v>1110542000</v>
      </c>
      <c r="F216" s="192">
        <f>'Realisasi Juli'!G213</f>
        <v>636943765.04999995</v>
      </c>
      <c r="G216" s="192">
        <v>98256049.230000004</v>
      </c>
      <c r="H216" s="192">
        <f t="shared" si="86"/>
        <v>735199814.27999997</v>
      </c>
      <c r="I216" s="361">
        <f t="shared" si="82"/>
        <v>0.70139603249395388</v>
      </c>
      <c r="J216" s="24">
        <f t="shared" si="85"/>
        <v>0.66201891894228226</v>
      </c>
      <c r="K216" s="207" t="s">
        <v>159</v>
      </c>
      <c r="L216" s="294"/>
      <c r="M216" s="296"/>
      <c r="N216" s="295"/>
    </row>
    <row r="217" spans="1:14" s="176" customFormat="1" x14ac:dyDescent="0.25">
      <c r="A217" s="188"/>
      <c r="B217" s="178"/>
      <c r="C217" s="171" t="s">
        <v>160</v>
      </c>
      <c r="D217" s="192">
        <v>1754082650</v>
      </c>
      <c r="E217" s="192">
        <v>1640538650</v>
      </c>
      <c r="F217" s="192">
        <f>'Realisasi Juli'!G214</f>
        <v>854218321.5</v>
      </c>
      <c r="G217" s="192">
        <v>127092097.91</v>
      </c>
      <c r="H217" s="192">
        <f t="shared" si="86"/>
        <v>981310419.40999997</v>
      </c>
      <c r="I217" s="361">
        <f t="shared" si="82"/>
        <v>0.55944366099852816</v>
      </c>
      <c r="J217" s="24">
        <f t="shared" si="85"/>
        <v>0.59816354793591719</v>
      </c>
      <c r="K217" s="207" t="s">
        <v>161</v>
      </c>
      <c r="L217" s="294"/>
      <c r="M217" s="296"/>
      <c r="N217" s="295"/>
    </row>
    <row r="218" spans="1:14" s="176" customFormat="1" x14ac:dyDescent="0.25">
      <c r="A218" s="188"/>
      <c r="B218" s="178"/>
      <c r="C218" s="171"/>
      <c r="D218" s="192"/>
      <c r="E218" s="192"/>
      <c r="F218" s="192"/>
      <c r="G218" s="192"/>
      <c r="H218" s="192"/>
      <c r="I218" s="361"/>
      <c r="J218" s="236"/>
      <c r="K218" s="207"/>
      <c r="L218" s="294"/>
      <c r="M218" s="295"/>
      <c r="N218" s="295"/>
    </row>
    <row r="219" spans="1:14" s="176" customFormat="1" x14ac:dyDescent="0.25">
      <c r="A219" s="168" t="s">
        <v>591</v>
      </c>
      <c r="B219" s="22" t="s">
        <v>306</v>
      </c>
      <c r="C219" s="185" t="s">
        <v>75</v>
      </c>
      <c r="D219" s="196">
        <f t="shared" ref="D219:H222" si="87">D220</f>
        <v>167200000</v>
      </c>
      <c r="E219" s="196">
        <f t="shared" si="87"/>
        <v>99495000</v>
      </c>
      <c r="F219" s="196">
        <f t="shared" si="87"/>
        <v>65574547</v>
      </c>
      <c r="G219" s="196">
        <f t="shared" si="87"/>
        <v>10882161</v>
      </c>
      <c r="H219" s="196">
        <f t="shared" si="87"/>
        <v>76456708</v>
      </c>
      <c r="I219" s="359">
        <f>H219/D219</f>
        <v>0.45727696172248805</v>
      </c>
      <c r="J219" s="236">
        <f t="shared" si="85"/>
        <v>0.76844774109251723</v>
      </c>
      <c r="K219" s="209"/>
      <c r="L219" s="294"/>
      <c r="M219" s="295"/>
      <c r="N219" s="295"/>
    </row>
    <row r="220" spans="1:14" s="176" customFormat="1" x14ac:dyDescent="0.25">
      <c r="A220" s="188"/>
      <c r="B220" s="189" t="s">
        <v>340</v>
      </c>
      <c r="C220" s="185" t="s">
        <v>341</v>
      </c>
      <c r="D220" s="196">
        <f t="shared" si="87"/>
        <v>167200000</v>
      </c>
      <c r="E220" s="196">
        <f t="shared" si="87"/>
        <v>99495000</v>
      </c>
      <c r="F220" s="196">
        <f t="shared" si="87"/>
        <v>65574547</v>
      </c>
      <c r="G220" s="196">
        <f t="shared" si="87"/>
        <v>10882161</v>
      </c>
      <c r="H220" s="196">
        <f t="shared" si="87"/>
        <v>76456708</v>
      </c>
      <c r="I220" s="359">
        <f>H220/D220</f>
        <v>0.45727696172248805</v>
      </c>
      <c r="J220" s="236">
        <f t="shared" si="85"/>
        <v>0.76844774109251723</v>
      </c>
      <c r="K220" s="209"/>
      <c r="L220" s="294"/>
      <c r="M220" s="295"/>
      <c r="N220" s="295"/>
    </row>
    <row r="221" spans="1:14" s="176" customFormat="1" x14ac:dyDescent="0.25">
      <c r="A221" s="188"/>
      <c r="B221" s="22"/>
      <c r="C221" s="185" t="s">
        <v>76</v>
      </c>
      <c r="D221" s="196">
        <f t="shared" si="87"/>
        <v>167200000</v>
      </c>
      <c r="E221" s="196">
        <f t="shared" si="87"/>
        <v>99495000</v>
      </c>
      <c r="F221" s="196">
        <f t="shared" si="87"/>
        <v>65574547</v>
      </c>
      <c r="G221" s="196">
        <f t="shared" si="87"/>
        <v>10882161</v>
      </c>
      <c r="H221" s="196">
        <f t="shared" si="87"/>
        <v>76456708</v>
      </c>
      <c r="I221" s="359">
        <f>H221/D221</f>
        <v>0.45727696172248805</v>
      </c>
      <c r="J221" s="236">
        <f t="shared" si="85"/>
        <v>0.76844774109251723</v>
      </c>
      <c r="K221" s="209"/>
      <c r="L221" s="294"/>
      <c r="M221" s="295"/>
      <c r="N221" s="295"/>
    </row>
    <row r="222" spans="1:14" s="176" customFormat="1" x14ac:dyDescent="0.25">
      <c r="A222" s="188"/>
      <c r="B222" s="178"/>
      <c r="C222" s="183" t="s">
        <v>77</v>
      </c>
      <c r="D222" s="191">
        <f t="shared" si="87"/>
        <v>167200000</v>
      </c>
      <c r="E222" s="191">
        <f t="shared" si="87"/>
        <v>99495000</v>
      </c>
      <c r="F222" s="191">
        <f t="shared" si="87"/>
        <v>65574547</v>
      </c>
      <c r="G222" s="191">
        <f t="shared" si="87"/>
        <v>10882161</v>
      </c>
      <c r="H222" s="191">
        <f t="shared" si="87"/>
        <v>76456708</v>
      </c>
      <c r="I222" s="359">
        <f>H222/D222</f>
        <v>0.45727696172248805</v>
      </c>
      <c r="J222" s="236">
        <f t="shared" si="85"/>
        <v>0.76844774109251723</v>
      </c>
      <c r="K222" s="207"/>
      <c r="L222" s="294"/>
      <c r="M222" s="295"/>
      <c r="N222" s="295"/>
    </row>
    <row r="223" spans="1:14" s="176" customFormat="1" x14ac:dyDescent="0.25">
      <c r="A223" s="182"/>
      <c r="B223" s="177" t="s">
        <v>79</v>
      </c>
      <c r="C223" s="183" t="s">
        <v>80</v>
      </c>
      <c r="D223" s="192">
        <v>167200000</v>
      </c>
      <c r="E223" s="192">
        <v>99495000</v>
      </c>
      <c r="F223" s="192">
        <f>'Realisasi Juli'!G220</f>
        <v>65574547</v>
      </c>
      <c r="G223" s="192">
        <v>10882161</v>
      </c>
      <c r="H223" s="192">
        <f>F223+G223</f>
        <v>76456708</v>
      </c>
      <c r="I223" s="361">
        <f>H223/D223</f>
        <v>0.45727696172248805</v>
      </c>
      <c r="J223" s="24">
        <f t="shared" si="85"/>
        <v>0.76844774109251723</v>
      </c>
      <c r="K223" s="207" t="s">
        <v>78</v>
      </c>
      <c r="L223" s="294"/>
      <c r="M223" s="295"/>
      <c r="N223" s="295"/>
    </row>
    <row r="224" spans="1:14" s="176" customFormat="1" x14ac:dyDescent="0.25">
      <c r="A224" s="182"/>
      <c r="B224" s="177"/>
      <c r="C224" s="183"/>
      <c r="D224" s="192"/>
      <c r="E224" s="192"/>
      <c r="F224" s="192"/>
      <c r="G224" s="192"/>
      <c r="H224" s="191"/>
      <c r="I224" s="361"/>
      <c r="J224" s="236"/>
      <c r="K224" s="207"/>
      <c r="L224" s="294"/>
      <c r="M224" s="295"/>
      <c r="N224" s="295"/>
    </row>
    <row r="225" spans="1:13" s="187" customFormat="1" x14ac:dyDescent="0.25">
      <c r="A225" s="165" t="s">
        <v>627</v>
      </c>
      <c r="B225" s="179" t="s">
        <v>446</v>
      </c>
      <c r="C225" s="180" t="s">
        <v>447</v>
      </c>
      <c r="D225" s="191">
        <f>D226</f>
        <v>0</v>
      </c>
      <c r="E225" s="191"/>
      <c r="F225" s="191"/>
      <c r="G225" s="191">
        <f>G226</f>
        <v>0</v>
      </c>
      <c r="H225" s="191">
        <f>H226</f>
        <v>0</v>
      </c>
      <c r="I225" s="359"/>
      <c r="J225" s="236"/>
      <c r="K225" s="216"/>
      <c r="L225" s="186"/>
    </row>
    <row r="226" spans="1:13" s="187" customFormat="1" x14ac:dyDescent="0.25">
      <c r="A226" s="254"/>
      <c r="B226" s="179" t="s">
        <v>448</v>
      </c>
      <c r="C226" s="180" t="s">
        <v>449</v>
      </c>
      <c r="D226" s="191">
        <f>SUM(D227:D229)</f>
        <v>0</v>
      </c>
      <c r="E226" s="191"/>
      <c r="F226" s="191"/>
      <c r="G226" s="191">
        <f>SUM(G227:G229)</f>
        <v>0</v>
      </c>
      <c r="H226" s="191">
        <f>SUM(H227:H229)</f>
        <v>0</v>
      </c>
      <c r="I226" s="359"/>
      <c r="J226" s="236"/>
      <c r="K226" s="216"/>
      <c r="L226" s="186"/>
    </row>
    <row r="227" spans="1:13" s="176" customFormat="1" x14ac:dyDescent="0.25">
      <c r="A227" s="182"/>
      <c r="B227" s="178"/>
      <c r="C227" s="193" t="s">
        <v>450</v>
      </c>
      <c r="D227" s="192">
        <v>0</v>
      </c>
      <c r="E227" s="192"/>
      <c r="F227" s="192">
        <f>'Realisasi April'!G221</f>
        <v>0</v>
      </c>
      <c r="G227" s="192"/>
      <c r="H227" s="192">
        <f>F227+G227</f>
        <v>0</v>
      </c>
      <c r="I227" s="364"/>
      <c r="J227" s="236"/>
      <c r="K227" s="207"/>
      <c r="L227" s="175"/>
    </row>
    <row r="228" spans="1:13" s="176" customFormat="1" x14ac:dyDescent="0.25">
      <c r="A228" s="182"/>
      <c r="B228" s="178"/>
      <c r="C228" s="193" t="s">
        <v>451</v>
      </c>
      <c r="D228" s="192">
        <v>0</v>
      </c>
      <c r="E228" s="192"/>
      <c r="F228" s="192">
        <f>'Realisasi April'!G222</f>
        <v>0</v>
      </c>
      <c r="G228" s="192"/>
      <c r="H228" s="192">
        <f>F228+G228</f>
        <v>0</v>
      </c>
      <c r="I228" s="364"/>
      <c r="J228" s="236"/>
      <c r="K228" s="207"/>
      <c r="L228" s="175"/>
    </row>
    <row r="229" spans="1:13" s="176" customFormat="1" x14ac:dyDescent="0.25">
      <c r="A229" s="182"/>
      <c r="B229" s="178"/>
      <c r="C229" s="193"/>
      <c r="D229" s="192"/>
      <c r="E229" s="192"/>
      <c r="F229" s="192"/>
      <c r="G229" s="192"/>
      <c r="H229" s="192"/>
      <c r="I229" s="364"/>
      <c r="J229" s="236"/>
      <c r="K229" s="207"/>
      <c r="L229" s="175"/>
    </row>
    <row r="230" spans="1:13" s="176" customFormat="1" x14ac:dyDescent="0.25">
      <c r="A230" s="182"/>
      <c r="B230" s="36"/>
      <c r="C230" s="37"/>
      <c r="D230" s="192"/>
      <c r="E230" s="192"/>
      <c r="F230" s="192"/>
      <c r="G230" s="192"/>
      <c r="H230" s="191"/>
      <c r="I230" s="359"/>
      <c r="J230" s="236"/>
      <c r="K230" s="222"/>
      <c r="L230" s="175"/>
    </row>
    <row r="231" spans="1:13" s="176" customFormat="1" ht="24.75" customHeight="1" x14ac:dyDescent="0.25">
      <c r="A231" s="126" t="s">
        <v>163</v>
      </c>
      <c r="B231" s="128" t="s">
        <v>164</v>
      </c>
      <c r="C231" s="41" t="s">
        <v>268</v>
      </c>
      <c r="D231" s="42">
        <f>SUM(D232+D425)</f>
        <v>885089671064</v>
      </c>
      <c r="E231" s="42">
        <f>SUM(E232+E425)</f>
        <v>922058884871</v>
      </c>
      <c r="F231" s="42">
        <f t="shared" ref="F231:H231" si="88">SUM(F232+F425)</f>
        <v>467112992857</v>
      </c>
      <c r="G231" s="42">
        <f t="shared" si="88"/>
        <v>64696918220</v>
      </c>
      <c r="H231" s="42">
        <f t="shared" si="88"/>
        <v>531809911077</v>
      </c>
      <c r="I231" s="360">
        <f t="shared" ref="I231:I236" si="89">H231/D231</f>
        <v>0.60085427325989582</v>
      </c>
      <c r="J231" s="237">
        <f t="shared" si="85"/>
        <v>0.57676350155381073</v>
      </c>
      <c r="K231" s="223"/>
      <c r="L231" s="175"/>
      <c r="M231" s="270"/>
    </row>
    <row r="232" spans="1:13" s="176" customFormat="1" x14ac:dyDescent="0.25">
      <c r="A232" s="134" t="s">
        <v>416</v>
      </c>
      <c r="B232" s="135" t="s">
        <v>350</v>
      </c>
      <c r="C232" s="136" t="s">
        <v>351</v>
      </c>
      <c r="D232" s="137">
        <f>SUM(D233+D418)</f>
        <v>769394341983</v>
      </c>
      <c r="E232" s="137">
        <f>SUM(E233+E418)</f>
        <v>776554228983</v>
      </c>
      <c r="F232" s="137">
        <f>SUM(F233+F418)</f>
        <v>402685108190</v>
      </c>
      <c r="G232" s="137">
        <f t="shared" ref="G232:H232" si="90">SUM(G233+G418)</f>
        <v>55387934456</v>
      </c>
      <c r="H232" s="137">
        <f t="shared" si="90"/>
        <v>458073042646</v>
      </c>
      <c r="I232" s="365">
        <f t="shared" si="89"/>
        <v>0.59536835358755635</v>
      </c>
      <c r="J232" s="238">
        <f t="shared" si="85"/>
        <v>0.58987901366000794</v>
      </c>
      <c r="K232" s="223"/>
      <c r="L232" s="175"/>
    </row>
    <row r="233" spans="1:13" s="176" customFormat="1" x14ac:dyDescent="0.25">
      <c r="A233" s="123" t="s">
        <v>89</v>
      </c>
      <c r="B233" s="133" t="s">
        <v>352</v>
      </c>
      <c r="C233" s="124" t="s">
        <v>165</v>
      </c>
      <c r="D233" s="125">
        <f>SUM(D234+D301+D303+D373)</f>
        <v>769394341983</v>
      </c>
      <c r="E233" s="125">
        <f>SUM(E234+E301+E303+E373)</f>
        <v>776554228983</v>
      </c>
      <c r="F233" s="125">
        <f>SUM(F234+F301+F303+F373)</f>
        <v>402685108190</v>
      </c>
      <c r="G233" s="125">
        <f t="shared" ref="G233:H233" si="91">SUM(G234+G301+G303+G373)</f>
        <v>55387934456</v>
      </c>
      <c r="H233" s="125">
        <f t="shared" si="91"/>
        <v>458073042646</v>
      </c>
      <c r="I233" s="366">
        <f t="shared" si="89"/>
        <v>0.59536835358755635</v>
      </c>
      <c r="J233" s="239">
        <f t="shared" si="85"/>
        <v>0.58987901366000794</v>
      </c>
      <c r="K233" s="223"/>
      <c r="L233" s="175"/>
      <c r="M233" s="270"/>
    </row>
    <row r="234" spans="1:13" s="176" customFormat="1" x14ac:dyDescent="0.25">
      <c r="A234" s="138" t="s">
        <v>166</v>
      </c>
      <c r="B234" s="139" t="s">
        <v>353</v>
      </c>
      <c r="C234" s="140" t="s">
        <v>354</v>
      </c>
      <c r="D234" s="141">
        <f>SUM(D235+D268+D272+D276+D280+D284+D288+D293+D296)</f>
        <v>154499794000</v>
      </c>
      <c r="E234" s="141">
        <f>SUM(E235+E268+E272+E276+E280+E284+E288+E293+E296)</f>
        <v>162373681000</v>
      </c>
      <c r="F234" s="141">
        <f>F235+F268+F272+F276+F280+F284+F288+F296+F266</f>
        <v>64990433740</v>
      </c>
      <c r="G234" s="141">
        <f>G235+G268+G272+G276+G280+G284+G288+G296+G266</f>
        <v>2305274350</v>
      </c>
      <c r="H234" s="141">
        <f>H235+H268+H272+H276+H280+H284+H288+H296+H266</f>
        <v>67295708090</v>
      </c>
      <c r="I234" s="367">
        <f t="shared" si="89"/>
        <v>0.43557150691087654</v>
      </c>
      <c r="J234" s="240">
        <f t="shared" si="85"/>
        <v>0.41444960584468121</v>
      </c>
      <c r="K234" s="224"/>
      <c r="L234" s="175"/>
      <c r="M234" s="270"/>
    </row>
    <row r="235" spans="1:13" s="187" customFormat="1" x14ac:dyDescent="0.25">
      <c r="A235" s="184" t="s">
        <v>406</v>
      </c>
      <c r="B235" s="189" t="s">
        <v>355</v>
      </c>
      <c r="C235" s="185" t="s">
        <v>356</v>
      </c>
      <c r="D235" s="196">
        <f>D236+D246</f>
        <v>25228962000</v>
      </c>
      <c r="E235" s="196">
        <f>E236+E246+E266</f>
        <v>26807676000</v>
      </c>
      <c r="F235" s="196">
        <f>F236+F246</f>
        <v>9704365500</v>
      </c>
      <c r="G235" s="196">
        <f>G236+G246</f>
        <v>2305274350</v>
      </c>
      <c r="H235" s="196">
        <f>H236+H246</f>
        <v>12009639850</v>
      </c>
      <c r="I235" s="359">
        <f t="shared" si="89"/>
        <v>0.47602592013099865</v>
      </c>
      <c r="J235" s="236">
        <f t="shared" si="85"/>
        <v>0.44799257682762206</v>
      </c>
      <c r="K235" s="225" t="s">
        <v>167</v>
      </c>
      <c r="L235" s="186"/>
    </row>
    <row r="236" spans="1:13" s="187" customFormat="1" x14ac:dyDescent="0.25">
      <c r="A236" s="184"/>
      <c r="B236" s="189"/>
      <c r="C236" s="185" t="s">
        <v>633</v>
      </c>
      <c r="D236" s="196">
        <v>25228962000</v>
      </c>
      <c r="E236" s="196">
        <f>SUM(E237:E245)</f>
        <v>26807415000</v>
      </c>
      <c r="F236" s="196">
        <f>SUM(F237:F245)</f>
        <v>9704365500</v>
      </c>
      <c r="G236" s="196">
        <f>SUM(G237:G245)</f>
        <v>2305274350</v>
      </c>
      <c r="H236" s="196">
        <f>SUM(H237:H245)</f>
        <v>12009639850</v>
      </c>
      <c r="I236" s="359">
        <f t="shared" si="89"/>
        <v>0.47602592013099865</v>
      </c>
      <c r="J236" s="236">
        <f t="shared" si="85"/>
        <v>0.44799693853361094</v>
      </c>
      <c r="K236" s="225"/>
      <c r="L236" s="186"/>
    </row>
    <row r="237" spans="1:13" s="187" customFormat="1" x14ac:dyDescent="0.25">
      <c r="A237" s="184"/>
      <c r="B237" s="190"/>
      <c r="C237" s="193" t="s">
        <v>453</v>
      </c>
      <c r="D237" s="181"/>
      <c r="E237" s="181">
        <v>3820583000</v>
      </c>
      <c r="F237" s="181">
        <f>'Realisasi Juli'!G234</f>
        <v>1082032500</v>
      </c>
      <c r="G237" s="181">
        <v>1910291500</v>
      </c>
      <c r="H237" s="192">
        <f>F237+G237</f>
        <v>2992324000</v>
      </c>
      <c r="I237" s="361"/>
      <c r="J237" s="24">
        <f t="shared" si="85"/>
        <v>0.78321135805713427</v>
      </c>
      <c r="K237" s="225"/>
      <c r="L237" s="186"/>
    </row>
    <row r="238" spans="1:13" s="187" customFormat="1" x14ac:dyDescent="0.25">
      <c r="A238" s="184"/>
      <c r="B238" s="190"/>
      <c r="C238" s="193" t="s">
        <v>454</v>
      </c>
      <c r="D238" s="181"/>
      <c r="E238" s="181">
        <v>16610000</v>
      </c>
      <c r="F238" s="181">
        <f>'Realisasi Juli'!G235</f>
        <v>0</v>
      </c>
      <c r="G238" s="181">
        <f>830500+830500+830500</f>
        <v>2491500</v>
      </c>
      <c r="H238" s="192">
        <f t="shared" ref="H238:H245" si="92">F238+G238</f>
        <v>2491500</v>
      </c>
      <c r="I238" s="361"/>
      <c r="J238" s="24">
        <f t="shared" si="85"/>
        <v>0.15</v>
      </c>
      <c r="K238" s="225"/>
      <c r="L238" s="186"/>
    </row>
    <row r="239" spans="1:13" s="187" customFormat="1" x14ac:dyDescent="0.25">
      <c r="A239" s="184"/>
      <c r="B239" s="190"/>
      <c r="C239" s="193" t="s">
        <v>455</v>
      </c>
      <c r="D239" s="181"/>
      <c r="E239" s="181">
        <v>2418594000</v>
      </c>
      <c r="F239" s="181">
        <f>'Realisasi Juli'!G236</f>
        <v>0</v>
      </c>
      <c r="G239" s="181">
        <f>120929700+120929700+120929700</f>
        <v>362789100</v>
      </c>
      <c r="H239" s="192">
        <f t="shared" si="92"/>
        <v>362789100</v>
      </c>
      <c r="I239" s="361"/>
      <c r="J239" s="24">
        <f t="shared" si="85"/>
        <v>0.15</v>
      </c>
      <c r="K239" s="225"/>
      <c r="L239" s="186"/>
    </row>
    <row r="240" spans="1:13" s="187" customFormat="1" x14ac:dyDescent="0.25">
      <c r="A240" s="184"/>
      <c r="B240" s="190"/>
      <c r="C240" s="193" t="s">
        <v>456</v>
      </c>
      <c r="D240" s="181"/>
      <c r="E240" s="181">
        <v>19697014000</v>
      </c>
      <c r="F240" s="181">
        <f>'Realisasi Juli'!G237</f>
        <v>8344193400</v>
      </c>
      <c r="G240" s="181"/>
      <c r="H240" s="192">
        <f t="shared" si="92"/>
        <v>8344193400</v>
      </c>
      <c r="I240" s="361"/>
      <c r="J240" s="24">
        <f t="shared" si="85"/>
        <v>0.42362732747207266</v>
      </c>
      <c r="K240" s="225"/>
      <c r="L240" s="186"/>
    </row>
    <row r="241" spans="1:15" s="187" customFormat="1" x14ac:dyDescent="0.25">
      <c r="A241" s="184"/>
      <c r="B241" s="190"/>
      <c r="C241" s="193" t="s">
        <v>457</v>
      </c>
      <c r="D241" s="181"/>
      <c r="E241" s="181">
        <v>99893000</v>
      </c>
      <c r="F241" s="181">
        <f>'Realisasi Juli'!G238</f>
        <v>0</v>
      </c>
      <c r="G241" s="181">
        <f>4994650+4994650+4994650</f>
        <v>14983950</v>
      </c>
      <c r="H241" s="192">
        <f t="shared" si="92"/>
        <v>14983950</v>
      </c>
      <c r="I241" s="361"/>
      <c r="J241" s="24">
        <f t="shared" si="85"/>
        <v>0.15</v>
      </c>
      <c r="K241" s="225"/>
      <c r="L241" s="186"/>
    </row>
    <row r="242" spans="1:15" s="187" customFormat="1" x14ac:dyDescent="0.25">
      <c r="A242" s="184"/>
      <c r="B242" s="190"/>
      <c r="C242" s="193" t="s">
        <v>458</v>
      </c>
      <c r="D242" s="181"/>
      <c r="E242" s="181">
        <v>738000</v>
      </c>
      <c r="F242" s="181">
        <f>'Realisasi Juli'!G239</f>
        <v>0</v>
      </c>
      <c r="G242" s="181">
        <f>36900+36900+36900</f>
        <v>110700</v>
      </c>
      <c r="H242" s="192">
        <f t="shared" si="92"/>
        <v>110700</v>
      </c>
      <c r="I242" s="361"/>
      <c r="J242" s="24">
        <f t="shared" si="85"/>
        <v>0.15</v>
      </c>
      <c r="K242" s="225"/>
      <c r="L242" s="186"/>
    </row>
    <row r="243" spans="1:15" s="187" customFormat="1" x14ac:dyDescent="0.25">
      <c r="A243" s="184"/>
      <c r="B243" s="190"/>
      <c r="C243" s="193" t="s">
        <v>459</v>
      </c>
      <c r="D243" s="181"/>
      <c r="E243" s="181">
        <v>94054000</v>
      </c>
      <c r="F243" s="181">
        <f>'Realisasi Juli'!G240</f>
        <v>0</v>
      </c>
      <c r="G243" s="181">
        <f>4702700+4702700+4702700</f>
        <v>14108100</v>
      </c>
      <c r="H243" s="192">
        <f t="shared" si="92"/>
        <v>14108100</v>
      </c>
      <c r="I243" s="361"/>
      <c r="J243" s="24">
        <f t="shared" si="85"/>
        <v>0.15</v>
      </c>
      <c r="K243" s="225"/>
      <c r="L243" s="186"/>
    </row>
    <row r="244" spans="1:15" s="187" customFormat="1" x14ac:dyDescent="0.25">
      <c r="A244" s="184"/>
      <c r="B244" s="190"/>
      <c r="C244" s="193" t="s">
        <v>460</v>
      </c>
      <c r="D244" s="181"/>
      <c r="E244" s="181">
        <v>656599000</v>
      </c>
      <c r="F244" s="181">
        <f>'Realisasi Juli'!G241</f>
        <v>278139600</v>
      </c>
      <c r="G244" s="181"/>
      <c r="H244" s="192">
        <f t="shared" si="92"/>
        <v>278139600</v>
      </c>
      <c r="I244" s="361"/>
      <c r="J244" s="24">
        <f t="shared" si="85"/>
        <v>0.42360649346100132</v>
      </c>
      <c r="K244" s="225"/>
      <c r="L244" s="186"/>
      <c r="O244" s="187" t="s">
        <v>671</v>
      </c>
    </row>
    <row r="245" spans="1:15" s="187" customFormat="1" x14ac:dyDescent="0.25">
      <c r="A245" s="184"/>
      <c r="B245" s="190"/>
      <c r="C245" s="193" t="s">
        <v>461</v>
      </c>
      <c r="D245" s="181"/>
      <c r="E245" s="181">
        <v>3330000</v>
      </c>
      <c r="F245" s="181">
        <f>'Realisasi Juli'!G242</f>
        <v>0</v>
      </c>
      <c r="G245" s="181">
        <f>166500+166500+166500</f>
        <v>499500</v>
      </c>
      <c r="H245" s="192">
        <f t="shared" si="92"/>
        <v>499500</v>
      </c>
      <c r="I245" s="361"/>
      <c r="J245" s="24">
        <f t="shared" si="85"/>
        <v>0.15</v>
      </c>
      <c r="K245" s="225"/>
      <c r="L245" s="186"/>
    </row>
    <row r="246" spans="1:15" s="187" customFormat="1" x14ac:dyDescent="0.25">
      <c r="A246" s="184"/>
      <c r="B246" s="190"/>
      <c r="C246" s="35" t="s">
        <v>519</v>
      </c>
      <c r="D246" s="196">
        <f>SUM(D247:D264)</f>
        <v>0</v>
      </c>
      <c r="E246" s="196"/>
      <c r="F246" s="196">
        <f t="shared" ref="F246:H246" si="93">SUM(F247:F264)</f>
        <v>0</v>
      </c>
      <c r="G246" s="196">
        <f t="shared" si="93"/>
        <v>0</v>
      </c>
      <c r="H246" s="196">
        <f t="shared" si="93"/>
        <v>0</v>
      </c>
      <c r="I246" s="359" t="e">
        <f t="shared" ref="I246:I264" si="94">H246/D246</f>
        <v>#DIV/0!</v>
      </c>
      <c r="J246" s="236" t="e">
        <f t="shared" si="85"/>
        <v>#DIV/0!</v>
      </c>
      <c r="K246" s="225"/>
      <c r="L246" s="186"/>
    </row>
    <row r="247" spans="1:15" s="187" customFormat="1" x14ac:dyDescent="0.25">
      <c r="A247" s="184"/>
      <c r="B247" s="190"/>
      <c r="C247" s="193" t="s">
        <v>521</v>
      </c>
      <c r="D247" s="181"/>
      <c r="E247" s="181"/>
      <c r="F247" s="181"/>
      <c r="G247" s="181"/>
      <c r="H247" s="192">
        <f>F247+G247</f>
        <v>0</v>
      </c>
      <c r="I247" s="361" t="e">
        <f t="shared" si="94"/>
        <v>#DIV/0!</v>
      </c>
      <c r="J247" s="24" t="e">
        <f t="shared" si="85"/>
        <v>#DIV/0!</v>
      </c>
      <c r="K247" s="225"/>
      <c r="L247" s="186"/>
    </row>
    <row r="248" spans="1:15" s="187" customFormat="1" x14ac:dyDescent="0.25">
      <c r="A248" s="184"/>
      <c r="B248" s="190"/>
      <c r="C248" s="193" t="s">
        <v>520</v>
      </c>
      <c r="D248" s="181"/>
      <c r="E248" s="181"/>
      <c r="F248" s="181"/>
      <c r="G248" s="181"/>
      <c r="H248" s="192">
        <f t="shared" ref="H248:H264" si="95">F248+G248</f>
        <v>0</v>
      </c>
      <c r="I248" s="361" t="e">
        <f t="shared" si="94"/>
        <v>#DIV/0!</v>
      </c>
      <c r="J248" s="24" t="e">
        <f t="shared" si="85"/>
        <v>#DIV/0!</v>
      </c>
      <c r="K248" s="225"/>
      <c r="L248" s="186"/>
    </row>
    <row r="249" spans="1:15" s="187" customFormat="1" x14ac:dyDescent="0.25">
      <c r="A249" s="184"/>
      <c r="B249" s="190"/>
      <c r="C249" s="193" t="s">
        <v>522</v>
      </c>
      <c r="D249" s="181"/>
      <c r="E249" s="181"/>
      <c r="F249" s="181"/>
      <c r="G249" s="181"/>
      <c r="H249" s="192">
        <f t="shared" si="95"/>
        <v>0</v>
      </c>
      <c r="I249" s="361" t="e">
        <f t="shared" si="94"/>
        <v>#DIV/0!</v>
      </c>
      <c r="J249" s="24" t="e">
        <f t="shared" si="85"/>
        <v>#DIV/0!</v>
      </c>
      <c r="K249" s="225"/>
      <c r="L249" s="186"/>
    </row>
    <row r="250" spans="1:15" s="187" customFormat="1" x14ac:dyDescent="0.25">
      <c r="A250" s="184"/>
      <c r="B250" s="190"/>
      <c r="C250" s="193" t="s">
        <v>523</v>
      </c>
      <c r="D250" s="181"/>
      <c r="E250" s="181"/>
      <c r="F250" s="181"/>
      <c r="G250" s="181"/>
      <c r="H250" s="192">
        <f t="shared" si="95"/>
        <v>0</v>
      </c>
      <c r="I250" s="361" t="e">
        <f t="shared" si="94"/>
        <v>#DIV/0!</v>
      </c>
      <c r="J250" s="24" t="e">
        <f t="shared" si="85"/>
        <v>#DIV/0!</v>
      </c>
      <c r="K250" s="225"/>
      <c r="L250" s="186"/>
    </row>
    <row r="251" spans="1:15" s="187" customFormat="1" x14ac:dyDescent="0.25">
      <c r="A251" s="184"/>
      <c r="B251" s="190"/>
      <c r="C251" s="193" t="s">
        <v>524</v>
      </c>
      <c r="D251" s="181"/>
      <c r="E251" s="181"/>
      <c r="F251" s="181"/>
      <c r="G251" s="181"/>
      <c r="H251" s="192">
        <f t="shared" si="95"/>
        <v>0</v>
      </c>
      <c r="I251" s="361" t="e">
        <f t="shared" si="94"/>
        <v>#DIV/0!</v>
      </c>
      <c r="J251" s="24" t="e">
        <f t="shared" si="85"/>
        <v>#DIV/0!</v>
      </c>
      <c r="K251" s="225"/>
      <c r="L251" s="186"/>
    </row>
    <row r="252" spans="1:15" s="187" customFormat="1" x14ac:dyDescent="0.25">
      <c r="A252" s="184"/>
      <c r="B252" s="190"/>
      <c r="C252" s="193" t="s">
        <v>525</v>
      </c>
      <c r="D252" s="181"/>
      <c r="E252" s="181"/>
      <c r="F252" s="181"/>
      <c r="G252" s="181"/>
      <c r="H252" s="192">
        <f t="shared" si="95"/>
        <v>0</v>
      </c>
      <c r="I252" s="361" t="e">
        <f t="shared" si="94"/>
        <v>#DIV/0!</v>
      </c>
      <c r="J252" s="24" t="e">
        <f t="shared" si="85"/>
        <v>#DIV/0!</v>
      </c>
      <c r="K252" s="225"/>
      <c r="L252" s="186"/>
    </row>
    <row r="253" spans="1:15" s="187" customFormat="1" x14ac:dyDescent="0.25">
      <c r="A253" s="184"/>
      <c r="B253" s="190"/>
      <c r="C253" s="193" t="s">
        <v>526</v>
      </c>
      <c r="D253" s="181"/>
      <c r="E253" s="181"/>
      <c r="F253" s="181"/>
      <c r="G253" s="181"/>
      <c r="H253" s="192">
        <f t="shared" si="95"/>
        <v>0</v>
      </c>
      <c r="I253" s="361" t="e">
        <f t="shared" si="94"/>
        <v>#DIV/0!</v>
      </c>
      <c r="J253" s="24" t="e">
        <f t="shared" si="85"/>
        <v>#DIV/0!</v>
      </c>
      <c r="K253" s="225"/>
      <c r="L253" s="186"/>
    </row>
    <row r="254" spans="1:15" s="187" customFormat="1" x14ac:dyDescent="0.25">
      <c r="A254" s="184"/>
      <c r="B254" s="190"/>
      <c r="C254" s="193" t="s">
        <v>527</v>
      </c>
      <c r="D254" s="181"/>
      <c r="E254" s="181"/>
      <c r="F254" s="181"/>
      <c r="G254" s="181"/>
      <c r="H254" s="192">
        <f t="shared" si="95"/>
        <v>0</v>
      </c>
      <c r="I254" s="361" t="e">
        <f t="shared" si="94"/>
        <v>#DIV/0!</v>
      </c>
      <c r="J254" s="24" t="e">
        <f t="shared" si="85"/>
        <v>#DIV/0!</v>
      </c>
      <c r="K254" s="225"/>
      <c r="L254" s="186"/>
    </row>
    <row r="255" spans="1:15" s="187" customFormat="1" x14ac:dyDescent="0.25">
      <c r="A255" s="184"/>
      <c r="B255" s="190"/>
      <c r="C255" s="193" t="s">
        <v>528</v>
      </c>
      <c r="D255" s="181"/>
      <c r="E255" s="181"/>
      <c r="F255" s="181"/>
      <c r="G255" s="181"/>
      <c r="H255" s="192">
        <f t="shared" si="95"/>
        <v>0</v>
      </c>
      <c r="I255" s="361" t="e">
        <f t="shared" si="94"/>
        <v>#DIV/0!</v>
      </c>
      <c r="J255" s="24" t="e">
        <f t="shared" si="85"/>
        <v>#DIV/0!</v>
      </c>
      <c r="K255" s="225"/>
      <c r="L255" s="186"/>
    </row>
    <row r="256" spans="1:15" s="187" customFormat="1" x14ac:dyDescent="0.25">
      <c r="A256" s="184"/>
      <c r="B256" s="190"/>
      <c r="C256" s="193" t="s">
        <v>567</v>
      </c>
      <c r="D256" s="181"/>
      <c r="E256" s="181"/>
      <c r="F256" s="181"/>
      <c r="G256" s="181"/>
      <c r="H256" s="192">
        <f t="shared" si="95"/>
        <v>0</v>
      </c>
      <c r="I256" s="361" t="e">
        <f t="shared" si="94"/>
        <v>#DIV/0!</v>
      </c>
      <c r="J256" s="24" t="e">
        <f t="shared" si="85"/>
        <v>#DIV/0!</v>
      </c>
      <c r="K256" s="225"/>
      <c r="L256" s="186"/>
    </row>
    <row r="257" spans="1:12" s="187" customFormat="1" x14ac:dyDescent="0.25">
      <c r="A257" s="184"/>
      <c r="B257" s="190"/>
      <c r="C257" s="193" t="s">
        <v>568</v>
      </c>
      <c r="D257" s="181"/>
      <c r="E257" s="181"/>
      <c r="F257" s="181"/>
      <c r="G257" s="181"/>
      <c r="H257" s="192">
        <f t="shared" si="95"/>
        <v>0</v>
      </c>
      <c r="I257" s="361" t="e">
        <f t="shared" si="94"/>
        <v>#DIV/0!</v>
      </c>
      <c r="J257" s="24" t="e">
        <f t="shared" si="85"/>
        <v>#DIV/0!</v>
      </c>
      <c r="K257" s="225"/>
      <c r="L257" s="186"/>
    </row>
    <row r="258" spans="1:12" s="187" customFormat="1" x14ac:dyDescent="0.25">
      <c r="A258" s="184"/>
      <c r="B258" s="190"/>
      <c r="C258" s="193" t="s">
        <v>569</v>
      </c>
      <c r="D258" s="181"/>
      <c r="E258" s="181"/>
      <c r="F258" s="181"/>
      <c r="G258" s="181"/>
      <c r="H258" s="192">
        <f t="shared" si="95"/>
        <v>0</v>
      </c>
      <c r="I258" s="361" t="e">
        <f t="shared" si="94"/>
        <v>#DIV/0!</v>
      </c>
      <c r="J258" s="24" t="e">
        <f t="shared" si="85"/>
        <v>#DIV/0!</v>
      </c>
      <c r="K258" s="225"/>
      <c r="L258" s="186"/>
    </row>
    <row r="259" spans="1:12" s="187" customFormat="1" x14ac:dyDescent="0.25">
      <c r="A259" s="184"/>
      <c r="B259" s="190"/>
      <c r="C259" s="193" t="s">
        <v>570</v>
      </c>
      <c r="D259" s="181"/>
      <c r="E259" s="181"/>
      <c r="F259" s="181"/>
      <c r="G259" s="181"/>
      <c r="H259" s="192">
        <f t="shared" si="95"/>
        <v>0</v>
      </c>
      <c r="I259" s="361" t="e">
        <f t="shared" si="94"/>
        <v>#DIV/0!</v>
      </c>
      <c r="J259" s="24" t="e">
        <f t="shared" si="85"/>
        <v>#DIV/0!</v>
      </c>
      <c r="K259" s="225"/>
      <c r="L259" s="186"/>
    </row>
    <row r="260" spans="1:12" s="187" customFormat="1" x14ac:dyDescent="0.25">
      <c r="A260" s="184"/>
      <c r="B260" s="190"/>
      <c r="C260" s="193" t="s">
        <v>571</v>
      </c>
      <c r="D260" s="181"/>
      <c r="E260" s="181"/>
      <c r="F260" s="181"/>
      <c r="G260" s="181"/>
      <c r="H260" s="192">
        <f t="shared" si="95"/>
        <v>0</v>
      </c>
      <c r="I260" s="361" t="e">
        <f t="shared" si="94"/>
        <v>#DIV/0!</v>
      </c>
      <c r="J260" s="24" t="e">
        <f t="shared" si="85"/>
        <v>#DIV/0!</v>
      </c>
      <c r="K260" s="225"/>
      <c r="L260" s="186"/>
    </row>
    <row r="261" spans="1:12" s="187" customFormat="1" x14ac:dyDescent="0.25">
      <c r="A261" s="184"/>
      <c r="B261" s="190"/>
      <c r="C261" s="193" t="s">
        <v>572</v>
      </c>
      <c r="D261" s="181"/>
      <c r="E261" s="181"/>
      <c r="F261" s="181"/>
      <c r="G261" s="181"/>
      <c r="H261" s="192">
        <f t="shared" si="95"/>
        <v>0</v>
      </c>
      <c r="I261" s="361" t="e">
        <f t="shared" si="94"/>
        <v>#DIV/0!</v>
      </c>
      <c r="J261" s="24" t="e">
        <f t="shared" si="85"/>
        <v>#DIV/0!</v>
      </c>
      <c r="K261" s="225"/>
      <c r="L261" s="186"/>
    </row>
    <row r="262" spans="1:12" s="187" customFormat="1" x14ac:dyDescent="0.25">
      <c r="A262" s="184"/>
      <c r="B262" s="190"/>
      <c r="C262" s="193" t="s">
        <v>573</v>
      </c>
      <c r="D262" s="181"/>
      <c r="E262" s="181"/>
      <c r="F262" s="181"/>
      <c r="G262" s="181"/>
      <c r="H262" s="192">
        <f t="shared" si="95"/>
        <v>0</v>
      </c>
      <c r="I262" s="361" t="e">
        <f t="shared" si="94"/>
        <v>#DIV/0!</v>
      </c>
      <c r="J262" s="24" t="e">
        <f t="shared" si="85"/>
        <v>#DIV/0!</v>
      </c>
      <c r="K262" s="225"/>
      <c r="L262" s="186"/>
    </row>
    <row r="263" spans="1:12" s="187" customFormat="1" x14ac:dyDescent="0.25">
      <c r="A263" s="184"/>
      <c r="B263" s="190"/>
      <c r="C263" s="193" t="s">
        <v>574</v>
      </c>
      <c r="D263" s="181"/>
      <c r="E263" s="181"/>
      <c r="F263" s="181"/>
      <c r="G263" s="181"/>
      <c r="H263" s="192">
        <f t="shared" si="95"/>
        <v>0</v>
      </c>
      <c r="I263" s="361" t="e">
        <f t="shared" si="94"/>
        <v>#DIV/0!</v>
      </c>
      <c r="J263" s="24" t="e">
        <f t="shared" si="85"/>
        <v>#DIV/0!</v>
      </c>
      <c r="K263" s="225"/>
      <c r="L263" s="186"/>
    </row>
    <row r="264" spans="1:12" s="187" customFormat="1" x14ac:dyDescent="0.25">
      <c r="A264" s="184"/>
      <c r="B264" s="190"/>
      <c r="C264" s="193" t="s">
        <v>575</v>
      </c>
      <c r="D264" s="181"/>
      <c r="E264" s="181"/>
      <c r="F264" s="181"/>
      <c r="G264" s="181"/>
      <c r="H264" s="192">
        <f t="shared" si="95"/>
        <v>0</v>
      </c>
      <c r="I264" s="361" t="e">
        <f t="shared" si="94"/>
        <v>#DIV/0!</v>
      </c>
      <c r="J264" s="24" t="e">
        <f t="shared" si="85"/>
        <v>#DIV/0!</v>
      </c>
      <c r="K264" s="225"/>
      <c r="L264" s="186"/>
    </row>
    <row r="265" spans="1:12" s="187" customFormat="1" x14ac:dyDescent="0.25">
      <c r="A265" s="184"/>
      <c r="B265" s="190"/>
      <c r="C265" s="193"/>
      <c r="D265" s="181"/>
      <c r="E265" s="181"/>
      <c r="F265" s="181"/>
      <c r="G265" s="181"/>
      <c r="H265" s="192"/>
      <c r="I265" s="361"/>
      <c r="J265" s="236"/>
      <c r="K265" s="225"/>
      <c r="L265" s="186"/>
    </row>
    <row r="266" spans="1:12" s="187" customFormat="1" x14ac:dyDescent="0.25">
      <c r="A266" s="184"/>
      <c r="B266" s="190"/>
      <c r="C266" s="35" t="s">
        <v>688</v>
      </c>
      <c r="D266" s="196"/>
      <c r="E266" s="196">
        <v>261000</v>
      </c>
      <c r="F266" s="196">
        <f>'Realisasi Juli'!G263</f>
        <v>42840</v>
      </c>
      <c r="G266" s="196"/>
      <c r="H266" s="191">
        <f>F266+G266</f>
        <v>42840</v>
      </c>
      <c r="I266" s="359"/>
      <c r="J266" s="236">
        <f t="shared" si="85"/>
        <v>0.16413793103448276</v>
      </c>
      <c r="K266" s="225"/>
      <c r="L266" s="186"/>
    </row>
    <row r="267" spans="1:12" s="187" customFormat="1" x14ac:dyDescent="0.25">
      <c r="A267" s="184"/>
      <c r="B267" s="190"/>
      <c r="C267" s="183"/>
      <c r="D267" s="181"/>
      <c r="E267" s="181"/>
      <c r="F267" s="196">
        <f>'Realisasi Juli'!G264</f>
        <v>0</v>
      </c>
      <c r="G267" s="181"/>
      <c r="H267" s="192"/>
      <c r="I267" s="361"/>
      <c r="J267" s="236"/>
      <c r="K267" s="225"/>
      <c r="L267" s="186"/>
    </row>
    <row r="268" spans="1:12" s="187" customFormat="1" x14ac:dyDescent="0.25">
      <c r="A268" s="184" t="s">
        <v>407</v>
      </c>
      <c r="B268" s="189" t="s">
        <v>357</v>
      </c>
      <c r="C268" s="185" t="s">
        <v>358</v>
      </c>
      <c r="D268" s="191">
        <v>25657034000</v>
      </c>
      <c r="E268" s="191">
        <v>26523015000</v>
      </c>
      <c r="F268" s="196">
        <f>F269</f>
        <v>10262813600</v>
      </c>
      <c r="G268" s="196">
        <f t="shared" ref="G268:H268" si="96">G269</f>
        <v>0</v>
      </c>
      <c r="H268" s="196">
        <f t="shared" si="96"/>
        <v>10262813600</v>
      </c>
      <c r="I268" s="359">
        <f>H268/D268</f>
        <v>0.4</v>
      </c>
      <c r="J268" s="236">
        <f t="shared" si="85"/>
        <v>0.38693993122576753</v>
      </c>
      <c r="K268" s="225" t="s">
        <v>167</v>
      </c>
      <c r="L268" s="186"/>
    </row>
    <row r="269" spans="1:12" s="187" customFormat="1" x14ac:dyDescent="0.25">
      <c r="A269" s="184"/>
      <c r="B269" s="190"/>
      <c r="C269" s="193" t="s">
        <v>650</v>
      </c>
      <c r="D269" s="192"/>
      <c r="E269" s="192"/>
      <c r="F269" s="181">
        <f>'Realisasi Juli'!G266</f>
        <v>10262813600</v>
      </c>
      <c r="G269" s="192"/>
      <c r="H269" s="192">
        <f>F269+G269</f>
        <v>10262813600</v>
      </c>
      <c r="I269" s="361" t="e">
        <f>H269/D269</f>
        <v>#DIV/0!</v>
      </c>
      <c r="J269" s="24" t="e">
        <f t="shared" si="85"/>
        <v>#DIV/0!</v>
      </c>
      <c r="K269" s="225"/>
      <c r="L269" s="186"/>
    </row>
    <row r="270" spans="1:12" s="187" customFormat="1" x14ac:dyDescent="0.25">
      <c r="A270" s="184"/>
      <c r="B270" s="190"/>
      <c r="C270" s="193" t="s">
        <v>651</v>
      </c>
      <c r="D270" s="192"/>
      <c r="E270" s="192"/>
      <c r="F270" s="181">
        <f>'Realisasi Juli'!G267</f>
        <v>0</v>
      </c>
      <c r="G270" s="192"/>
      <c r="H270" s="192">
        <f t="shared" ref="H270" si="97">F270+G270</f>
        <v>0</v>
      </c>
      <c r="I270" s="361" t="e">
        <f>H270/D270</f>
        <v>#DIV/0!</v>
      </c>
      <c r="J270" s="24" t="e">
        <f t="shared" si="85"/>
        <v>#DIV/0!</v>
      </c>
      <c r="K270" s="225"/>
      <c r="L270" s="186"/>
    </row>
    <row r="271" spans="1:12" s="187" customFormat="1" x14ac:dyDescent="0.25">
      <c r="A271" s="184"/>
      <c r="B271" s="190"/>
      <c r="C271" s="183"/>
      <c r="D271" s="192"/>
      <c r="E271" s="192"/>
      <c r="F271" s="196">
        <f>'Realisasi Juli'!G268</f>
        <v>0</v>
      </c>
      <c r="G271" s="192"/>
      <c r="H271" s="192"/>
      <c r="I271" s="361"/>
      <c r="J271" s="24"/>
      <c r="K271" s="225"/>
      <c r="L271" s="186"/>
    </row>
    <row r="272" spans="1:12" s="187" customFormat="1" x14ac:dyDescent="0.25">
      <c r="A272" s="184" t="s">
        <v>408</v>
      </c>
      <c r="B272" s="189" t="s">
        <v>359</v>
      </c>
      <c r="C272" s="185" t="s">
        <v>360</v>
      </c>
      <c r="D272" s="191">
        <v>1111004000</v>
      </c>
      <c r="E272" s="191">
        <v>1150983000</v>
      </c>
      <c r="F272" s="196">
        <f>F273</f>
        <v>444401600</v>
      </c>
      <c r="G272" s="196">
        <f t="shared" ref="G272:H272" si="98">G273</f>
        <v>0</v>
      </c>
      <c r="H272" s="196">
        <f t="shared" si="98"/>
        <v>444401600</v>
      </c>
      <c r="I272" s="359">
        <f>H272/D272</f>
        <v>0.4</v>
      </c>
      <c r="J272" s="236">
        <f t="shared" ref="J272:J335" si="99">H272/E272</f>
        <v>0.38610613710193809</v>
      </c>
      <c r="K272" s="225" t="s">
        <v>167</v>
      </c>
      <c r="L272" s="186"/>
    </row>
    <row r="273" spans="1:12" s="187" customFormat="1" x14ac:dyDescent="0.25">
      <c r="A273" s="184"/>
      <c r="B273" s="190"/>
      <c r="C273" s="193" t="s">
        <v>652</v>
      </c>
      <c r="D273" s="192"/>
      <c r="E273" s="192"/>
      <c r="F273" s="181">
        <f>'Realisasi Juli'!G270</f>
        <v>444401600</v>
      </c>
      <c r="G273" s="192"/>
      <c r="H273" s="192">
        <f>F273+G273</f>
        <v>444401600</v>
      </c>
      <c r="I273" s="361" t="e">
        <f>H273/D273</f>
        <v>#DIV/0!</v>
      </c>
      <c r="J273" s="24" t="e">
        <f t="shared" si="99"/>
        <v>#DIV/0!</v>
      </c>
      <c r="K273" s="225"/>
      <c r="L273" s="186"/>
    </row>
    <row r="274" spans="1:12" s="187" customFormat="1" x14ac:dyDescent="0.25">
      <c r="A274" s="184"/>
      <c r="B274" s="190"/>
      <c r="C274" s="193" t="s">
        <v>653</v>
      </c>
      <c r="D274" s="192"/>
      <c r="E274" s="192"/>
      <c r="F274" s="196">
        <f>'Realisasi Juli'!G271</f>
        <v>0</v>
      </c>
      <c r="G274" s="192"/>
      <c r="H274" s="192">
        <f t="shared" ref="H274" si="100">F274+G274</f>
        <v>0</v>
      </c>
      <c r="I274" s="361" t="e">
        <f>H274/D274</f>
        <v>#DIV/0!</v>
      </c>
      <c r="J274" s="24" t="e">
        <f t="shared" si="99"/>
        <v>#DIV/0!</v>
      </c>
      <c r="K274" s="225"/>
      <c r="L274" s="186"/>
    </row>
    <row r="275" spans="1:12" s="187" customFormat="1" x14ac:dyDescent="0.25">
      <c r="A275" s="184"/>
      <c r="B275" s="190"/>
      <c r="C275" s="183"/>
      <c r="D275" s="192"/>
      <c r="E275" s="192"/>
      <c r="F275" s="196">
        <f>'Realisasi Juli'!G272</f>
        <v>0</v>
      </c>
      <c r="G275" s="192"/>
      <c r="H275" s="192"/>
      <c r="I275" s="361"/>
      <c r="J275" s="236"/>
      <c r="K275" s="225"/>
      <c r="L275" s="186"/>
    </row>
    <row r="276" spans="1:12" s="187" customFormat="1" x14ac:dyDescent="0.25">
      <c r="A276" s="184" t="s">
        <v>409</v>
      </c>
      <c r="B276" s="189" t="s">
        <v>405</v>
      </c>
      <c r="C276" s="185" t="s">
        <v>361</v>
      </c>
      <c r="D276" s="191">
        <v>90682864000</v>
      </c>
      <c r="E276" s="191">
        <v>90637250000</v>
      </c>
      <c r="F276" s="196">
        <f>F277</f>
        <v>39076182900</v>
      </c>
      <c r="G276" s="196">
        <f t="shared" ref="G276:H276" si="101">G277</f>
        <v>0</v>
      </c>
      <c r="H276" s="196">
        <f t="shared" si="101"/>
        <v>39076182900</v>
      </c>
      <c r="I276" s="359">
        <f>H276/D276</f>
        <v>0.43091033053389227</v>
      </c>
      <c r="J276" s="236">
        <f t="shared" si="99"/>
        <v>0.43112718997983723</v>
      </c>
      <c r="K276" s="225" t="s">
        <v>167</v>
      </c>
      <c r="L276" s="186"/>
    </row>
    <row r="277" spans="1:12" s="187" customFormat="1" x14ac:dyDescent="0.25">
      <c r="A277" s="184"/>
      <c r="B277" s="190"/>
      <c r="C277" s="193" t="s">
        <v>654</v>
      </c>
      <c r="D277" s="192"/>
      <c r="E277" s="192"/>
      <c r="F277" s="181">
        <f>'Realisasi Juli'!G274</f>
        <v>39076182900</v>
      </c>
      <c r="G277" s="192"/>
      <c r="H277" s="192">
        <f>F277+G277</f>
        <v>39076182900</v>
      </c>
      <c r="I277" s="361" t="e">
        <f>H277/D277</f>
        <v>#DIV/0!</v>
      </c>
      <c r="J277" s="24" t="e">
        <f t="shared" si="99"/>
        <v>#DIV/0!</v>
      </c>
      <c r="K277" s="225"/>
      <c r="L277" s="186"/>
    </row>
    <row r="278" spans="1:12" s="187" customFormat="1" x14ac:dyDescent="0.25">
      <c r="A278" s="184"/>
      <c r="B278" s="190"/>
      <c r="C278" s="193" t="s">
        <v>655</v>
      </c>
      <c r="D278" s="192"/>
      <c r="E278" s="192"/>
      <c r="F278" s="196">
        <f>'Realisasi Juli'!G275</f>
        <v>0</v>
      </c>
      <c r="G278" s="192"/>
      <c r="H278" s="192">
        <f t="shared" ref="H278" si="102">F278+G278</f>
        <v>0</v>
      </c>
      <c r="I278" s="361" t="e">
        <f>H278/D278</f>
        <v>#DIV/0!</v>
      </c>
      <c r="J278" s="24" t="e">
        <f t="shared" si="99"/>
        <v>#DIV/0!</v>
      </c>
      <c r="K278" s="225"/>
      <c r="L278" s="186"/>
    </row>
    <row r="279" spans="1:12" s="187" customFormat="1" x14ac:dyDescent="0.25">
      <c r="A279" s="184"/>
      <c r="B279" s="190"/>
      <c r="C279" s="193"/>
      <c r="D279" s="192"/>
      <c r="E279" s="192"/>
      <c r="F279" s="196">
        <f>'Realisasi Juli'!G276</f>
        <v>0</v>
      </c>
      <c r="G279" s="192"/>
      <c r="H279" s="192"/>
      <c r="I279" s="361"/>
      <c r="J279" s="236"/>
      <c r="K279" s="225"/>
      <c r="L279" s="186"/>
    </row>
    <row r="280" spans="1:12" s="187" customFormat="1" x14ac:dyDescent="0.25">
      <c r="A280" s="188" t="s">
        <v>410</v>
      </c>
      <c r="B280" s="189" t="s">
        <v>462</v>
      </c>
      <c r="C280" s="185" t="s">
        <v>463</v>
      </c>
      <c r="D280" s="191">
        <f>SUM(D281:D282)</f>
        <v>0</v>
      </c>
      <c r="E280" s="191">
        <v>3994893000</v>
      </c>
      <c r="F280" s="196">
        <f>F281</f>
        <v>1731105900</v>
      </c>
      <c r="G280" s="196">
        <f t="shared" ref="G280:H280" si="103">G281</f>
        <v>0</v>
      </c>
      <c r="H280" s="196">
        <f t="shared" si="103"/>
        <v>1731105900</v>
      </c>
      <c r="I280" s="359" t="e">
        <f>H280/D280</f>
        <v>#DIV/0!</v>
      </c>
      <c r="J280" s="236">
        <f t="shared" si="99"/>
        <v>0.43332972873115749</v>
      </c>
      <c r="K280" s="225"/>
      <c r="L280" s="186"/>
    </row>
    <row r="281" spans="1:12" s="187" customFormat="1" x14ac:dyDescent="0.25">
      <c r="A281" s="188"/>
      <c r="B281" s="190"/>
      <c r="C281" s="193" t="s">
        <v>656</v>
      </c>
      <c r="D281" s="192">
        <v>0</v>
      </c>
      <c r="E281" s="192"/>
      <c r="F281" s="181">
        <f>'Realisasi Juli'!G278</f>
        <v>1731105900</v>
      </c>
      <c r="G281" s="192"/>
      <c r="H281" s="192">
        <f>F281+G281</f>
        <v>1731105900</v>
      </c>
      <c r="I281" s="361" t="e">
        <f>H281/D281</f>
        <v>#DIV/0!</v>
      </c>
      <c r="J281" s="24" t="e">
        <f t="shared" si="99"/>
        <v>#DIV/0!</v>
      </c>
      <c r="K281" s="225"/>
      <c r="L281" s="186"/>
    </row>
    <row r="282" spans="1:12" s="187" customFormat="1" x14ac:dyDescent="0.25">
      <c r="A282" s="188"/>
      <c r="B282" s="190"/>
      <c r="C282" s="193" t="s">
        <v>657</v>
      </c>
      <c r="D282" s="192"/>
      <c r="E282" s="192"/>
      <c r="F282" s="196">
        <f>'Realisasi Juli'!G279</f>
        <v>0</v>
      </c>
      <c r="G282" s="192"/>
      <c r="H282" s="192">
        <f>F282+G282</f>
        <v>0</v>
      </c>
      <c r="I282" s="361" t="e">
        <f>H282/D282</f>
        <v>#DIV/0!</v>
      </c>
      <c r="J282" s="24" t="e">
        <f t="shared" si="99"/>
        <v>#DIV/0!</v>
      </c>
      <c r="K282" s="225"/>
      <c r="L282" s="186"/>
    </row>
    <row r="283" spans="1:12" s="187" customFormat="1" x14ac:dyDescent="0.25">
      <c r="A283" s="188"/>
      <c r="B283" s="190"/>
      <c r="C283" s="193"/>
      <c r="D283" s="192"/>
      <c r="E283" s="192"/>
      <c r="F283" s="196">
        <f>'Realisasi Juli'!G280</f>
        <v>0</v>
      </c>
      <c r="G283" s="192"/>
      <c r="H283" s="192"/>
      <c r="I283" s="361"/>
      <c r="J283" s="236"/>
      <c r="K283" s="225"/>
      <c r="L283" s="186"/>
    </row>
    <row r="284" spans="1:12" s="187" customFormat="1" x14ac:dyDescent="0.25">
      <c r="A284" s="188" t="s">
        <v>411</v>
      </c>
      <c r="B284" s="189" t="s">
        <v>362</v>
      </c>
      <c r="C284" s="185" t="s">
        <v>363</v>
      </c>
      <c r="D284" s="191">
        <v>1503616000</v>
      </c>
      <c r="E284" s="191">
        <v>2892430000</v>
      </c>
      <c r="F284" s="196">
        <f>F285</f>
        <v>676627200</v>
      </c>
      <c r="G284" s="196">
        <f t="shared" ref="G284:H284" si="104">G285</f>
        <v>0</v>
      </c>
      <c r="H284" s="196">
        <f t="shared" si="104"/>
        <v>676627200</v>
      </c>
      <c r="I284" s="359">
        <f>H284/D284</f>
        <v>0.45</v>
      </c>
      <c r="J284" s="236">
        <f t="shared" si="99"/>
        <v>0.23393036305113693</v>
      </c>
      <c r="K284" s="225" t="s">
        <v>167</v>
      </c>
      <c r="L284" s="186"/>
    </row>
    <row r="285" spans="1:12" s="187" customFormat="1" x14ac:dyDescent="0.25">
      <c r="A285" s="188"/>
      <c r="B285" s="190"/>
      <c r="C285" s="193" t="s">
        <v>658</v>
      </c>
      <c r="D285" s="192"/>
      <c r="E285" s="192"/>
      <c r="F285" s="181">
        <f>'Realisasi Juli'!G282</f>
        <v>676627200</v>
      </c>
      <c r="G285" s="192"/>
      <c r="H285" s="192">
        <f>F285+G285</f>
        <v>676627200</v>
      </c>
      <c r="I285" s="361" t="e">
        <f>H285/D285</f>
        <v>#DIV/0!</v>
      </c>
      <c r="J285" s="24" t="e">
        <f t="shared" si="99"/>
        <v>#DIV/0!</v>
      </c>
      <c r="K285" s="225"/>
      <c r="L285" s="186"/>
    </row>
    <row r="286" spans="1:12" s="187" customFormat="1" x14ac:dyDescent="0.25">
      <c r="A286" s="188"/>
      <c r="B286" s="190"/>
      <c r="C286" s="193" t="s">
        <v>659</v>
      </c>
      <c r="D286" s="192"/>
      <c r="E286" s="192"/>
      <c r="F286" s="196">
        <f>'Realisasi Juli'!G283</f>
        <v>0</v>
      </c>
      <c r="G286" s="192"/>
      <c r="H286" s="192">
        <f>F286+G286</f>
        <v>0</v>
      </c>
      <c r="I286" s="361" t="e">
        <f>H286/D286</f>
        <v>#DIV/0!</v>
      </c>
      <c r="J286" s="24" t="e">
        <f t="shared" si="99"/>
        <v>#DIV/0!</v>
      </c>
      <c r="K286" s="225"/>
      <c r="L286" s="186"/>
    </row>
    <row r="287" spans="1:12" s="187" customFormat="1" x14ac:dyDescent="0.25">
      <c r="A287" s="188"/>
      <c r="B287" s="190"/>
      <c r="C287" s="193"/>
      <c r="D287" s="192"/>
      <c r="E287" s="192"/>
      <c r="F287" s="196">
        <f>'Realisasi Juli'!G284</f>
        <v>0</v>
      </c>
      <c r="G287" s="192"/>
      <c r="H287" s="192">
        <f t="shared" ref="H287" si="105">G287</f>
        <v>0</v>
      </c>
      <c r="I287" s="361"/>
      <c r="J287" s="236"/>
      <c r="K287" s="225"/>
      <c r="L287" s="186"/>
    </row>
    <row r="288" spans="1:12" s="187" customFormat="1" x14ac:dyDescent="0.25">
      <c r="A288" s="188" t="s">
        <v>412</v>
      </c>
      <c r="B288" s="189" t="s">
        <v>364</v>
      </c>
      <c r="C288" s="185" t="s">
        <v>365</v>
      </c>
      <c r="D288" s="191">
        <v>8397488000</v>
      </c>
      <c r="E288" s="191">
        <v>8409123000</v>
      </c>
      <c r="F288" s="196">
        <f>F289</f>
        <v>2519246400</v>
      </c>
      <c r="G288" s="196">
        <f t="shared" ref="G288:H288" si="106">G289</f>
        <v>0</v>
      </c>
      <c r="H288" s="196">
        <f t="shared" si="106"/>
        <v>2519246400</v>
      </c>
      <c r="I288" s="359">
        <f>H288/D288</f>
        <v>0.3</v>
      </c>
      <c r="J288" s="236">
        <f t="shared" si="99"/>
        <v>0.29958491509756724</v>
      </c>
      <c r="K288" s="225" t="s">
        <v>167</v>
      </c>
      <c r="L288" s="186"/>
    </row>
    <row r="289" spans="1:12" s="187" customFormat="1" x14ac:dyDescent="0.25">
      <c r="A289" s="188"/>
      <c r="B289" s="190"/>
      <c r="C289" s="193" t="s">
        <v>660</v>
      </c>
      <c r="D289" s="192"/>
      <c r="E289" s="192"/>
      <c r="F289" s="181">
        <f>'Realisasi Juli'!G286</f>
        <v>2519246400</v>
      </c>
      <c r="G289" s="192"/>
      <c r="H289" s="192">
        <f>F289+G289</f>
        <v>2519246400</v>
      </c>
      <c r="I289" s="361" t="e">
        <f>H289/D289</f>
        <v>#DIV/0!</v>
      </c>
      <c r="J289" s="24" t="e">
        <f t="shared" si="99"/>
        <v>#DIV/0!</v>
      </c>
      <c r="K289" s="225"/>
      <c r="L289" s="186"/>
    </row>
    <row r="290" spans="1:12" s="187" customFormat="1" x14ac:dyDescent="0.25">
      <c r="A290" s="188"/>
      <c r="B290" s="190"/>
      <c r="C290" s="35" t="s">
        <v>529</v>
      </c>
      <c r="D290" s="191">
        <f>SUM(D291:D291)</f>
        <v>0</v>
      </c>
      <c r="E290" s="191"/>
      <c r="F290" s="196">
        <f>'Realisasi Juli'!G287</f>
        <v>0</v>
      </c>
      <c r="G290" s="191">
        <f>SUM(G291:G291)</f>
        <v>0</v>
      </c>
      <c r="H290" s="192">
        <f t="shared" ref="H290:H291" si="107">F290+G290</f>
        <v>0</v>
      </c>
      <c r="I290" s="359" t="e">
        <f>H290/D290</f>
        <v>#DIV/0!</v>
      </c>
      <c r="J290" s="236" t="e">
        <f t="shared" si="99"/>
        <v>#DIV/0!</v>
      </c>
      <c r="K290" s="225"/>
      <c r="L290" s="186"/>
    </row>
    <row r="291" spans="1:12" s="187" customFormat="1" x14ac:dyDescent="0.25">
      <c r="A291" s="188"/>
      <c r="B291" s="190"/>
      <c r="C291" s="193" t="s">
        <v>661</v>
      </c>
      <c r="D291" s="192"/>
      <c r="E291" s="192"/>
      <c r="F291" s="196">
        <f>'Realisasi Juli'!G288</f>
        <v>0</v>
      </c>
      <c r="G291" s="192"/>
      <c r="H291" s="192">
        <f t="shared" si="107"/>
        <v>0</v>
      </c>
      <c r="I291" s="361" t="e">
        <f>H291/D291</f>
        <v>#DIV/0!</v>
      </c>
      <c r="J291" s="24" t="e">
        <f t="shared" si="99"/>
        <v>#DIV/0!</v>
      </c>
      <c r="K291" s="225"/>
      <c r="L291" s="186"/>
    </row>
    <row r="292" spans="1:12" s="187" customFormat="1" x14ac:dyDescent="0.25">
      <c r="A292" s="188"/>
      <c r="B292" s="190"/>
      <c r="C292" s="193"/>
      <c r="D292" s="192"/>
      <c r="E292" s="192"/>
      <c r="F292" s="196">
        <f>'Realisasi Juli'!G289</f>
        <v>0</v>
      </c>
      <c r="G292" s="192"/>
      <c r="H292" s="192"/>
      <c r="I292" s="361"/>
      <c r="J292" s="236"/>
      <c r="K292" s="225"/>
      <c r="L292" s="186"/>
    </row>
    <row r="293" spans="1:12" s="187" customFormat="1" hidden="1" x14ac:dyDescent="0.25">
      <c r="A293" s="188" t="s">
        <v>464</v>
      </c>
      <c r="B293" s="189" t="s">
        <v>466</v>
      </c>
      <c r="C293" s="185" t="s">
        <v>467</v>
      </c>
      <c r="D293" s="191">
        <f>SUM(D294)</f>
        <v>0</v>
      </c>
      <c r="E293" s="191"/>
      <c r="F293" s="196" t="e">
        <f>'Realisasi Juli'!G290</f>
        <v>#REF!</v>
      </c>
      <c r="G293" s="191">
        <f t="shared" ref="G293:H293" si="108">SUM(G294:G295)</f>
        <v>0</v>
      </c>
      <c r="H293" s="191" t="e">
        <f t="shared" si="108"/>
        <v>#REF!</v>
      </c>
      <c r="I293" s="361"/>
      <c r="J293" s="236" t="e">
        <f t="shared" si="99"/>
        <v>#REF!</v>
      </c>
      <c r="K293" s="225"/>
      <c r="L293" s="186"/>
    </row>
    <row r="294" spans="1:12" s="187" customFormat="1" hidden="1" x14ac:dyDescent="0.25">
      <c r="A294" s="188"/>
      <c r="B294" s="190"/>
      <c r="C294" s="193" t="s">
        <v>487</v>
      </c>
      <c r="D294" s="192">
        <v>0</v>
      </c>
      <c r="E294" s="192"/>
      <c r="F294" s="196" t="e">
        <f>'Realisasi Juli'!G291</f>
        <v>#REF!</v>
      </c>
      <c r="G294" s="192">
        <v>0</v>
      </c>
      <c r="H294" s="192" t="e">
        <f>#REF!+G294</f>
        <v>#REF!</v>
      </c>
      <c r="I294" s="361"/>
      <c r="J294" s="236" t="e">
        <f t="shared" si="99"/>
        <v>#REF!</v>
      </c>
      <c r="K294" s="225"/>
      <c r="L294" s="186"/>
    </row>
    <row r="295" spans="1:12" s="187" customFormat="1" hidden="1" x14ac:dyDescent="0.25">
      <c r="A295" s="188"/>
      <c r="B295" s="190"/>
      <c r="C295" s="193"/>
      <c r="D295" s="192"/>
      <c r="E295" s="192"/>
      <c r="F295" s="196">
        <f>'Realisasi Juli'!G292</f>
        <v>0</v>
      </c>
      <c r="G295" s="192"/>
      <c r="H295" s="192"/>
      <c r="I295" s="361"/>
      <c r="J295" s="236" t="e">
        <f t="shared" si="99"/>
        <v>#DIV/0!</v>
      </c>
      <c r="K295" s="225"/>
      <c r="L295" s="186"/>
    </row>
    <row r="296" spans="1:12" s="187" customFormat="1" x14ac:dyDescent="0.25">
      <c r="A296" s="188" t="s">
        <v>465</v>
      </c>
      <c r="B296" s="189" t="s">
        <v>366</v>
      </c>
      <c r="C296" s="185" t="s">
        <v>367</v>
      </c>
      <c r="D296" s="191">
        <v>1918826000</v>
      </c>
      <c r="E296" s="191">
        <v>1958311000</v>
      </c>
      <c r="F296" s="196">
        <f>F297</f>
        <v>575647800</v>
      </c>
      <c r="G296" s="196">
        <f t="shared" ref="G296:H296" si="109">G297</f>
        <v>0</v>
      </c>
      <c r="H296" s="196">
        <f t="shared" si="109"/>
        <v>575647800</v>
      </c>
      <c r="I296" s="359">
        <f>H296/D296</f>
        <v>0.3</v>
      </c>
      <c r="J296" s="236">
        <f t="shared" si="99"/>
        <v>0.29395116506009517</v>
      </c>
      <c r="K296" s="225" t="s">
        <v>167</v>
      </c>
      <c r="L296" s="186"/>
    </row>
    <row r="297" spans="1:12" s="187" customFormat="1" x14ac:dyDescent="0.25">
      <c r="A297" s="188"/>
      <c r="B297" s="190"/>
      <c r="C297" s="193" t="s">
        <v>662</v>
      </c>
      <c r="D297" s="192"/>
      <c r="E297" s="192"/>
      <c r="F297" s="181">
        <f>'Realisasi Juli'!G294</f>
        <v>575647800</v>
      </c>
      <c r="G297" s="192"/>
      <c r="H297" s="192">
        <f>F297+G297</f>
        <v>575647800</v>
      </c>
      <c r="I297" s="361" t="e">
        <f>H297/D297</f>
        <v>#DIV/0!</v>
      </c>
      <c r="J297" s="24" t="e">
        <f t="shared" si="99"/>
        <v>#DIV/0!</v>
      </c>
      <c r="K297" s="225"/>
      <c r="L297" s="186"/>
    </row>
    <row r="298" spans="1:12" s="187" customFormat="1" x14ac:dyDescent="0.25">
      <c r="A298" s="188"/>
      <c r="B298" s="190"/>
      <c r="C298" s="35" t="s">
        <v>530</v>
      </c>
      <c r="D298" s="191">
        <f>SUM(D299:D299)</f>
        <v>0</v>
      </c>
      <c r="E298" s="191"/>
      <c r="F298" s="196">
        <f>'Realisasi Juli'!G295</f>
        <v>0</v>
      </c>
      <c r="G298" s="191">
        <f>SUM(G299:G299)</f>
        <v>0</v>
      </c>
      <c r="H298" s="191">
        <f>SUM(H299:H299)</f>
        <v>0</v>
      </c>
      <c r="I298" s="359" t="e">
        <f>H298/D298</f>
        <v>#DIV/0!</v>
      </c>
      <c r="J298" s="236" t="e">
        <f t="shared" si="99"/>
        <v>#DIV/0!</v>
      </c>
      <c r="K298" s="225"/>
      <c r="L298" s="186"/>
    </row>
    <row r="299" spans="1:12" s="187" customFormat="1" x14ac:dyDescent="0.25">
      <c r="A299" s="188"/>
      <c r="B299" s="190"/>
      <c r="C299" s="193" t="s">
        <v>663</v>
      </c>
      <c r="D299" s="192"/>
      <c r="E299" s="192"/>
      <c r="F299" s="196">
        <f>'Realisasi Juli'!G296</f>
        <v>0</v>
      </c>
      <c r="G299" s="192"/>
      <c r="H299" s="192">
        <f>F299+G299</f>
        <v>0</v>
      </c>
      <c r="I299" s="361" t="e">
        <f>H299/D299</f>
        <v>#DIV/0!</v>
      </c>
      <c r="J299" s="24" t="e">
        <f t="shared" si="99"/>
        <v>#DIV/0!</v>
      </c>
      <c r="K299" s="225"/>
      <c r="L299" s="186"/>
    </row>
    <row r="300" spans="1:12" s="176" customFormat="1" x14ac:dyDescent="0.25">
      <c r="A300" s="27"/>
      <c r="B300" s="178"/>
      <c r="C300" s="183"/>
      <c r="D300" s="192"/>
      <c r="E300" s="192"/>
      <c r="F300" s="192"/>
      <c r="G300" s="192"/>
      <c r="H300" s="191"/>
      <c r="I300" s="359"/>
      <c r="J300" s="236"/>
      <c r="K300" s="224"/>
      <c r="L300" s="175"/>
    </row>
    <row r="301" spans="1:12" s="176" customFormat="1" x14ac:dyDescent="0.25">
      <c r="A301" s="138" t="s">
        <v>169</v>
      </c>
      <c r="B301" s="139" t="s">
        <v>368</v>
      </c>
      <c r="C301" s="140" t="s">
        <v>369</v>
      </c>
      <c r="D301" s="142">
        <v>429554051000</v>
      </c>
      <c r="E301" s="142">
        <v>429554051000</v>
      </c>
      <c r="F301" s="142">
        <f>'Realisasi Juli'!G298</f>
        <v>284557566138</v>
      </c>
      <c r="G301" s="142">
        <v>35796170000</v>
      </c>
      <c r="H301" s="141">
        <f>F301+G301</f>
        <v>320353736138</v>
      </c>
      <c r="I301" s="367">
        <f>H301/D301</f>
        <v>0.74578213240503233</v>
      </c>
      <c r="J301" s="240">
        <f t="shared" si="99"/>
        <v>0.74578213240503233</v>
      </c>
      <c r="K301" s="225" t="s">
        <v>468</v>
      </c>
      <c r="L301" s="175"/>
    </row>
    <row r="302" spans="1:12" s="176" customFormat="1" x14ac:dyDescent="0.25">
      <c r="A302" s="27"/>
      <c r="B302" s="178"/>
      <c r="C302" s="39"/>
      <c r="D302" s="38"/>
      <c r="E302" s="38"/>
      <c r="F302" s="38"/>
      <c r="G302" s="38"/>
      <c r="H302" s="38"/>
      <c r="I302" s="368"/>
      <c r="J302" s="236"/>
      <c r="K302" s="225"/>
      <c r="L302" s="175"/>
    </row>
    <row r="303" spans="1:12" s="176" customFormat="1" x14ac:dyDescent="0.25">
      <c r="A303" s="138" t="s">
        <v>170</v>
      </c>
      <c r="B303" s="139" t="s">
        <v>370</v>
      </c>
      <c r="C303" s="140" t="s">
        <v>371</v>
      </c>
      <c r="D303" s="141">
        <f>SUM(D305+D358+D335)</f>
        <v>63435068973</v>
      </c>
      <c r="E303" s="141">
        <f>SUM(E305+E358+E335)</f>
        <v>62721068973</v>
      </c>
      <c r="F303" s="141">
        <f t="shared" ref="F303:H303" si="110">SUM(F305+F358+F335)</f>
        <v>19549322245</v>
      </c>
      <c r="G303" s="141">
        <f t="shared" si="110"/>
        <v>17286490106</v>
      </c>
      <c r="H303" s="141">
        <f t="shared" si="110"/>
        <v>36835812351</v>
      </c>
      <c r="I303" s="367">
        <f>H303/D303</f>
        <v>0.58068530463297052</v>
      </c>
      <c r="J303" s="240">
        <f t="shared" si="99"/>
        <v>0.58729567199910104</v>
      </c>
      <c r="K303" s="225" t="s">
        <v>469</v>
      </c>
      <c r="L303" s="175"/>
    </row>
    <row r="304" spans="1:12" s="176" customFormat="1" x14ac:dyDescent="0.25">
      <c r="A304" s="40"/>
      <c r="B304" s="22"/>
      <c r="C304" s="185"/>
      <c r="D304" s="191"/>
      <c r="E304" s="191"/>
      <c r="F304" s="191"/>
      <c r="G304" s="191"/>
      <c r="H304" s="191"/>
      <c r="I304" s="359"/>
      <c r="J304" s="236"/>
      <c r="K304" s="224"/>
      <c r="L304" s="175"/>
    </row>
    <row r="305" spans="1:13" s="176" customFormat="1" ht="38.25" customHeight="1" x14ac:dyDescent="0.25">
      <c r="A305" s="293"/>
      <c r="B305" s="262" t="s">
        <v>413</v>
      </c>
      <c r="C305" s="41" t="s">
        <v>171</v>
      </c>
      <c r="D305" s="42">
        <f>SUM(D312+D319+D321+D323+D325+D327+D329+D306+D332)</f>
        <v>63435068973</v>
      </c>
      <c r="E305" s="42">
        <f>SUM(E312+E319+E321+E323+E325+E327+E329+E306+E332)</f>
        <v>62721068973</v>
      </c>
      <c r="F305" s="42">
        <f>F306+F312+F323+F325+F329+F332</f>
        <v>19549322245</v>
      </c>
      <c r="G305" s="42">
        <f t="shared" ref="G305:H305" si="111">G306+G312+G323+G325+G329+G332</f>
        <v>17286490106</v>
      </c>
      <c r="H305" s="42">
        <f t="shared" si="111"/>
        <v>36835812351</v>
      </c>
      <c r="I305" s="360">
        <f t="shared" ref="I305:I328" si="112">H305/D305</f>
        <v>0.58068530463297052</v>
      </c>
      <c r="J305" s="237">
        <f t="shared" si="99"/>
        <v>0.58729567199910104</v>
      </c>
      <c r="K305" s="225" t="s">
        <v>470</v>
      </c>
      <c r="L305" s="175"/>
    </row>
    <row r="306" spans="1:13" s="176" customFormat="1" x14ac:dyDescent="0.25">
      <c r="A306" s="40"/>
      <c r="B306" s="43">
        <v>1</v>
      </c>
      <c r="C306" s="185" t="s">
        <v>172</v>
      </c>
      <c r="D306" s="191">
        <f>SUM(D307:D311)</f>
        <v>23287427000</v>
      </c>
      <c r="E306" s="191">
        <f>SUM(E307:E311)</f>
        <v>23287427000</v>
      </c>
      <c r="F306" s="191">
        <f>SUM(F307:F311)</f>
        <v>9463158400</v>
      </c>
      <c r="G306" s="191">
        <f t="shared" ref="G306:H306" si="113">SUM(G307:G311)</f>
        <v>7423883100</v>
      </c>
      <c r="H306" s="191">
        <f t="shared" si="113"/>
        <v>16887041500</v>
      </c>
      <c r="I306" s="359">
        <f t="shared" si="112"/>
        <v>0.72515703430868517</v>
      </c>
      <c r="J306" s="236">
        <f t="shared" si="99"/>
        <v>0.72515703430868517</v>
      </c>
      <c r="K306" s="225"/>
      <c r="L306" s="175"/>
    </row>
    <row r="307" spans="1:13" s="176" customFormat="1" x14ac:dyDescent="0.25">
      <c r="A307" s="40"/>
      <c r="B307" s="190" t="s">
        <v>531</v>
      </c>
      <c r="C307" s="193" t="s">
        <v>173</v>
      </c>
      <c r="D307" s="192">
        <v>1376396000</v>
      </c>
      <c r="E307" s="192">
        <v>1376396000</v>
      </c>
      <c r="F307" s="192">
        <f>'Realisasi Juli'!G304</f>
        <v>262849000</v>
      </c>
      <c r="G307" s="192">
        <v>473128200</v>
      </c>
      <c r="H307" s="192">
        <f>F307+G307</f>
        <v>735977200</v>
      </c>
      <c r="I307" s="361">
        <f t="shared" si="112"/>
        <v>0.53471326565901089</v>
      </c>
      <c r="J307" s="24">
        <f t="shared" si="99"/>
        <v>0.53471326565901089</v>
      </c>
      <c r="K307" s="225" t="s">
        <v>471</v>
      </c>
      <c r="L307" s="175"/>
    </row>
    <row r="308" spans="1:13" s="176" customFormat="1" x14ac:dyDescent="0.25">
      <c r="A308" s="40"/>
      <c r="B308" s="190" t="s">
        <v>532</v>
      </c>
      <c r="C308" s="193" t="s">
        <v>174</v>
      </c>
      <c r="D308" s="192">
        <v>10775078000</v>
      </c>
      <c r="E308" s="192">
        <v>10775078000</v>
      </c>
      <c r="F308" s="192">
        <f>'Realisasi Juli'!G305</f>
        <v>6103282500</v>
      </c>
      <c r="G308" s="192">
        <v>2767535100</v>
      </c>
      <c r="H308" s="192">
        <f t="shared" ref="H308:H311" si="114">F308+G308</f>
        <v>8870817600</v>
      </c>
      <c r="I308" s="361">
        <f t="shared" si="112"/>
        <v>0.82327177585164579</v>
      </c>
      <c r="J308" s="24">
        <f t="shared" si="99"/>
        <v>0.82327177585164579</v>
      </c>
      <c r="K308" s="225" t="s">
        <v>471</v>
      </c>
      <c r="L308" s="175"/>
    </row>
    <row r="309" spans="1:13" s="176" customFormat="1" x14ac:dyDescent="0.25">
      <c r="A309" s="40"/>
      <c r="B309" s="190" t="s">
        <v>533</v>
      </c>
      <c r="C309" s="193" t="s">
        <v>175</v>
      </c>
      <c r="D309" s="192">
        <v>10360454000</v>
      </c>
      <c r="E309" s="192">
        <v>10360454000</v>
      </c>
      <c r="F309" s="192">
        <f>'Realisasi Juli'!G306</f>
        <v>2324011000</v>
      </c>
      <c r="G309" s="192">
        <v>4183219800</v>
      </c>
      <c r="H309" s="192">
        <f t="shared" si="114"/>
        <v>6507230800</v>
      </c>
      <c r="I309" s="361">
        <f t="shared" si="112"/>
        <v>0.62808355695609475</v>
      </c>
      <c r="J309" s="24">
        <f t="shared" si="99"/>
        <v>0.62808355695609475</v>
      </c>
      <c r="K309" s="225" t="s">
        <v>471</v>
      </c>
      <c r="L309" s="175"/>
    </row>
    <row r="310" spans="1:13" s="176" customFormat="1" x14ac:dyDescent="0.25">
      <c r="A310" s="40"/>
      <c r="B310" s="190"/>
      <c r="C310" s="193" t="s">
        <v>684</v>
      </c>
      <c r="D310" s="192">
        <v>470885000</v>
      </c>
      <c r="E310" s="192">
        <v>470885000</v>
      </c>
      <c r="F310" s="192">
        <f>'Realisasi Juli'!G307</f>
        <v>470885000</v>
      </c>
      <c r="G310" s="192"/>
      <c r="H310" s="192">
        <f t="shared" si="114"/>
        <v>470885000</v>
      </c>
      <c r="I310" s="361">
        <f t="shared" si="112"/>
        <v>1</v>
      </c>
      <c r="J310" s="24">
        <f t="shared" si="99"/>
        <v>1</v>
      </c>
      <c r="K310" s="225"/>
      <c r="L310" s="175"/>
    </row>
    <row r="311" spans="1:13" s="176" customFormat="1" x14ac:dyDescent="0.25">
      <c r="A311" s="40"/>
      <c r="B311" s="190" t="s">
        <v>534</v>
      </c>
      <c r="C311" s="193" t="s">
        <v>176</v>
      </c>
      <c r="D311" s="192">
        <v>304614000</v>
      </c>
      <c r="E311" s="192">
        <v>304614000</v>
      </c>
      <c r="F311" s="192">
        <f>'Realisasi Juli'!G308</f>
        <v>302130900</v>
      </c>
      <c r="G311" s="192"/>
      <c r="H311" s="192">
        <f t="shared" si="114"/>
        <v>302130900</v>
      </c>
      <c r="I311" s="361">
        <f t="shared" si="112"/>
        <v>0.99184837203805476</v>
      </c>
      <c r="J311" s="24">
        <f t="shared" si="99"/>
        <v>0.99184837203805476</v>
      </c>
      <c r="K311" s="225" t="s">
        <v>471</v>
      </c>
      <c r="L311" s="175"/>
    </row>
    <row r="312" spans="1:13" s="176" customFormat="1" x14ac:dyDescent="0.25">
      <c r="A312" s="40"/>
      <c r="B312" s="43">
        <v>2</v>
      </c>
      <c r="C312" s="185" t="s">
        <v>177</v>
      </c>
      <c r="D312" s="191">
        <f>SUM(D313:D318)</f>
        <v>21815016973</v>
      </c>
      <c r="E312" s="191">
        <f>SUM(E313:E318)</f>
        <v>21101016973</v>
      </c>
      <c r="F312" s="191">
        <f t="shared" ref="F312:H312" si="115">SUM(F313:F318)</f>
        <v>5503007595</v>
      </c>
      <c r="G312" s="191">
        <f t="shared" si="115"/>
        <v>6559514756</v>
      </c>
      <c r="H312" s="191">
        <f t="shared" si="115"/>
        <v>12062522351</v>
      </c>
      <c r="I312" s="359">
        <f t="shared" si="112"/>
        <v>0.5529458155329211</v>
      </c>
      <c r="J312" s="236">
        <f t="shared" si="99"/>
        <v>0.57165597119962086</v>
      </c>
      <c r="K312" s="225"/>
      <c r="L312" s="175"/>
    </row>
    <row r="313" spans="1:13" s="176" customFormat="1" x14ac:dyDescent="0.25">
      <c r="A313" s="40"/>
      <c r="B313" s="190" t="s">
        <v>535</v>
      </c>
      <c r="C313" s="193" t="s">
        <v>178</v>
      </c>
      <c r="D313" s="192">
        <v>714000000</v>
      </c>
      <c r="E313" s="192"/>
      <c r="F313" s="192">
        <f>'Realisasi Juli'!G310</f>
        <v>0</v>
      </c>
      <c r="G313" s="192"/>
      <c r="H313" s="192">
        <f>F313+G313</f>
        <v>0</v>
      </c>
      <c r="I313" s="361">
        <f t="shared" si="112"/>
        <v>0</v>
      </c>
      <c r="J313" s="24" t="e">
        <f t="shared" si="99"/>
        <v>#DIV/0!</v>
      </c>
      <c r="K313" s="225" t="s">
        <v>471</v>
      </c>
      <c r="L313" s="175"/>
    </row>
    <row r="314" spans="1:13" s="176" customFormat="1" x14ac:dyDescent="0.25">
      <c r="A314" s="40"/>
      <c r="B314" s="190" t="s">
        <v>536</v>
      </c>
      <c r="C314" s="193" t="s">
        <v>372</v>
      </c>
      <c r="D314" s="192"/>
      <c r="E314" s="192"/>
      <c r="F314" s="192">
        <f>'Realisasi Juli'!G311</f>
        <v>0</v>
      </c>
      <c r="G314" s="192"/>
      <c r="H314" s="192">
        <f t="shared" ref="H314:H326" si="116">F314+G314</f>
        <v>0</v>
      </c>
      <c r="I314" s="361" t="e">
        <f t="shared" si="112"/>
        <v>#DIV/0!</v>
      </c>
      <c r="J314" s="24" t="e">
        <f t="shared" si="99"/>
        <v>#DIV/0!</v>
      </c>
      <c r="K314" s="225" t="s">
        <v>471</v>
      </c>
      <c r="L314" s="175"/>
    </row>
    <row r="315" spans="1:13" s="176" customFormat="1" x14ac:dyDescent="0.25">
      <c r="A315" s="40"/>
      <c r="B315" s="190" t="s">
        <v>537</v>
      </c>
      <c r="C315" s="193" t="s">
        <v>179</v>
      </c>
      <c r="D315" s="192">
        <v>2892701000</v>
      </c>
      <c r="E315" s="192">
        <v>2892701000</v>
      </c>
      <c r="F315" s="192">
        <f>'Realisasi Juli'!G312</f>
        <v>300787113</v>
      </c>
      <c r="G315" s="192">
        <v>303299948</v>
      </c>
      <c r="H315" s="192">
        <f t="shared" si="116"/>
        <v>604087061</v>
      </c>
      <c r="I315" s="361">
        <f t="shared" si="112"/>
        <v>0.20883149036143037</v>
      </c>
      <c r="J315" s="24">
        <f t="shared" si="99"/>
        <v>0.20883149036143037</v>
      </c>
      <c r="K315" s="225" t="s">
        <v>471</v>
      </c>
      <c r="L315" s="175"/>
    </row>
    <row r="316" spans="1:13" s="176" customFormat="1" x14ac:dyDescent="0.25">
      <c r="A316" s="40"/>
      <c r="B316" s="190" t="s">
        <v>538</v>
      </c>
      <c r="C316" s="193" t="s">
        <v>180</v>
      </c>
      <c r="D316" s="192">
        <v>12902970863</v>
      </c>
      <c r="E316" s="192">
        <v>12902970863</v>
      </c>
      <c r="F316" s="192">
        <f>'Realisasi Juli'!G313</f>
        <v>3847376182</v>
      </c>
      <c r="G316" s="192">
        <f>4537958500+542862500</f>
        <v>5080821000</v>
      </c>
      <c r="H316" s="192">
        <f t="shared" si="116"/>
        <v>8928197182</v>
      </c>
      <c r="I316" s="361">
        <f t="shared" si="112"/>
        <v>0.69194895321372163</v>
      </c>
      <c r="J316" s="24">
        <f t="shared" si="99"/>
        <v>0.69194895321372163</v>
      </c>
      <c r="K316" s="225" t="s">
        <v>471</v>
      </c>
      <c r="L316" s="175"/>
    </row>
    <row r="317" spans="1:13" s="176" customFormat="1" x14ac:dyDescent="0.25">
      <c r="A317" s="40"/>
      <c r="B317" s="190" t="s">
        <v>373</v>
      </c>
      <c r="C317" s="193" t="s">
        <v>181</v>
      </c>
      <c r="D317" s="192">
        <v>1124477000</v>
      </c>
      <c r="E317" s="299">
        <v>1124477000</v>
      </c>
      <c r="F317" s="192">
        <f>'Realisasi Juli'!G314</f>
        <v>0</v>
      </c>
      <c r="G317" s="192">
        <v>138530000</v>
      </c>
      <c r="H317" s="192">
        <f t="shared" si="116"/>
        <v>138530000</v>
      </c>
      <c r="I317" s="361">
        <f t="shared" si="112"/>
        <v>0.12319504978759015</v>
      </c>
      <c r="J317" s="24">
        <f t="shared" si="99"/>
        <v>0.12319504978759015</v>
      </c>
      <c r="K317" s="225" t="s">
        <v>471</v>
      </c>
      <c r="L317" s="175"/>
      <c r="M317" s="3"/>
    </row>
    <row r="318" spans="1:13" s="176" customFormat="1" x14ac:dyDescent="0.25">
      <c r="A318" s="40"/>
      <c r="B318" s="190"/>
      <c r="C318" s="193" t="s">
        <v>706</v>
      </c>
      <c r="D318" s="192">
        <v>4180868110</v>
      </c>
      <c r="E318" s="299">
        <v>4180868110</v>
      </c>
      <c r="F318" s="192">
        <f>'Realisasi Juli'!G315</f>
        <v>1354844300</v>
      </c>
      <c r="G318" s="192">
        <v>1036863808</v>
      </c>
      <c r="H318" s="192">
        <f t="shared" si="116"/>
        <v>2391708108</v>
      </c>
      <c r="I318" s="361">
        <f t="shared" si="112"/>
        <v>0.57206016671020987</v>
      </c>
      <c r="J318" s="24">
        <f t="shared" si="99"/>
        <v>0.57206016671020987</v>
      </c>
      <c r="K318" s="225"/>
      <c r="L318" s="175"/>
    </row>
    <row r="319" spans="1:13" s="176" customFormat="1" hidden="1" x14ac:dyDescent="0.25">
      <c r="A319" s="40"/>
      <c r="B319" s="43">
        <v>3</v>
      </c>
      <c r="C319" s="185" t="s">
        <v>182</v>
      </c>
      <c r="D319" s="191">
        <f>SUM(D320:D320)</f>
        <v>0</v>
      </c>
      <c r="E319" s="191"/>
      <c r="F319" s="192">
        <f>'Realisasi Juli'!G316</f>
        <v>0</v>
      </c>
      <c r="G319" s="191"/>
      <c r="H319" s="192">
        <f t="shared" si="116"/>
        <v>0</v>
      </c>
      <c r="I319" s="361" t="e">
        <f t="shared" si="112"/>
        <v>#DIV/0!</v>
      </c>
      <c r="J319" s="236" t="e">
        <f t="shared" si="99"/>
        <v>#DIV/0!</v>
      </c>
      <c r="K319" s="224"/>
      <c r="L319" s="175"/>
    </row>
    <row r="320" spans="1:13" s="176" customFormat="1" hidden="1" x14ac:dyDescent="0.25">
      <c r="A320" s="40"/>
      <c r="B320" s="44"/>
      <c r="C320" s="193" t="s">
        <v>183</v>
      </c>
      <c r="D320" s="192">
        <v>0</v>
      </c>
      <c r="E320" s="192"/>
      <c r="F320" s="192">
        <f>'Realisasi Juli'!G317</f>
        <v>0</v>
      </c>
      <c r="G320" s="192"/>
      <c r="H320" s="192">
        <f t="shared" si="116"/>
        <v>0</v>
      </c>
      <c r="I320" s="361" t="e">
        <f t="shared" si="112"/>
        <v>#DIV/0!</v>
      </c>
      <c r="J320" s="236" t="e">
        <f t="shared" si="99"/>
        <v>#DIV/0!</v>
      </c>
      <c r="K320" s="223"/>
      <c r="L320" s="175"/>
    </row>
    <row r="321" spans="1:12" s="176" customFormat="1" hidden="1" x14ac:dyDescent="0.25">
      <c r="A321" s="40"/>
      <c r="B321" s="43">
        <v>4</v>
      </c>
      <c r="C321" s="185" t="s">
        <v>184</v>
      </c>
      <c r="D321" s="191">
        <f>SUM(D322:D322)</f>
        <v>0</v>
      </c>
      <c r="E321" s="191"/>
      <c r="F321" s="192">
        <f>'Realisasi Juli'!G318</f>
        <v>0</v>
      </c>
      <c r="G321" s="191"/>
      <c r="H321" s="192">
        <f t="shared" si="116"/>
        <v>0</v>
      </c>
      <c r="I321" s="361" t="e">
        <f t="shared" si="112"/>
        <v>#DIV/0!</v>
      </c>
      <c r="J321" s="236" t="e">
        <f t="shared" si="99"/>
        <v>#DIV/0!</v>
      </c>
      <c r="K321" s="223"/>
      <c r="L321" s="175"/>
    </row>
    <row r="322" spans="1:12" s="176" customFormat="1" hidden="1" x14ac:dyDescent="0.25">
      <c r="A322" s="40"/>
      <c r="B322" s="44"/>
      <c r="C322" s="193" t="s">
        <v>185</v>
      </c>
      <c r="D322" s="192">
        <v>0</v>
      </c>
      <c r="E322" s="192"/>
      <c r="F322" s="192">
        <f>'Realisasi Juli'!G319</f>
        <v>0</v>
      </c>
      <c r="G322" s="192"/>
      <c r="H322" s="192">
        <f t="shared" si="116"/>
        <v>0</v>
      </c>
      <c r="I322" s="361" t="e">
        <f t="shared" si="112"/>
        <v>#DIV/0!</v>
      </c>
      <c r="J322" s="236" t="e">
        <f t="shared" si="99"/>
        <v>#DIV/0!</v>
      </c>
      <c r="K322" s="223"/>
      <c r="L322" s="175"/>
    </row>
    <row r="323" spans="1:12" s="176" customFormat="1" x14ac:dyDescent="0.25">
      <c r="A323" s="40"/>
      <c r="B323" s="43">
        <v>3</v>
      </c>
      <c r="C323" s="35" t="s">
        <v>186</v>
      </c>
      <c r="D323" s="191">
        <f>SUM(D324:D324)</f>
        <v>4803838000</v>
      </c>
      <c r="E323" s="191">
        <f>SUM(E324:E324)</f>
        <v>4803838000</v>
      </c>
      <c r="F323" s="191">
        <f t="shared" ref="F323:H323" si="117">SUM(F324:F324)</f>
        <v>1200959500</v>
      </c>
      <c r="G323" s="191">
        <f t="shared" si="117"/>
        <v>0</v>
      </c>
      <c r="H323" s="191">
        <f t="shared" si="117"/>
        <v>1200959500</v>
      </c>
      <c r="I323" s="359">
        <f t="shared" si="112"/>
        <v>0.25</v>
      </c>
      <c r="J323" s="236">
        <f t="shared" si="99"/>
        <v>0.25</v>
      </c>
      <c r="K323" s="223"/>
      <c r="L323" s="175"/>
    </row>
    <row r="324" spans="1:12" s="176" customFormat="1" x14ac:dyDescent="0.25">
      <c r="A324" s="40"/>
      <c r="B324" s="190" t="s">
        <v>374</v>
      </c>
      <c r="C324" s="193" t="s">
        <v>187</v>
      </c>
      <c r="D324" s="192">
        <v>4803838000</v>
      </c>
      <c r="E324" s="192">
        <v>4803838000</v>
      </c>
      <c r="F324" s="192">
        <f>'Realisasi Juli'!G321</f>
        <v>1200959500</v>
      </c>
      <c r="G324" s="192"/>
      <c r="H324" s="192">
        <f t="shared" si="116"/>
        <v>1200959500</v>
      </c>
      <c r="I324" s="361">
        <f t="shared" si="112"/>
        <v>0.25</v>
      </c>
      <c r="J324" s="24">
        <f t="shared" si="99"/>
        <v>0.25</v>
      </c>
      <c r="K324" s="225"/>
      <c r="L324" s="175"/>
    </row>
    <row r="325" spans="1:12" s="176" customFormat="1" x14ac:dyDescent="0.25">
      <c r="A325" s="40"/>
      <c r="B325" s="43">
        <v>4</v>
      </c>
      <c r="C325" s="185" t="s">
        <v>188</v>
      </c>
      <c r="D325" s="191">
        <f>SUM(D326)</f>
        <v>6188582000</v>
      </c>
      <c r="E325" s="191">
        <f>SUM(E326)</f>
        <v>6188582000</v>
      </c>
      <c r="F325" s="191">
        <f t="shared" ref="F325:H325" si="118">SUM(F326)</f>
        <v>1547145500</v>
      </c>
      <c r="G325" s="191">
        <f t="shared" si="118"/>
        <v>0</v>
      </c>
      <c r="H325" s="191">
        <f t="shared" si="118"/>
        <v>1547145500</v>
      </c>
      <c r="I325" s="359">
        <f t="shared" si="112"/>
        <v>0.25</v>
      </c>
      <c r="J325" s="236">
        <f t="shared" si="99"/>
        <v>0.25</v>
      </c>
      <c r="K325" s="223"/>
      <c r="L325" s="175"/>
    </row>
    <row r="326" spans="1:12" s="176" customFormat="1" x14ac:dyDescent="0.25">
      <c r="A326" s="40"/>
      <c r="B326" s="190" t="s">
        <v>375</v>
      </c>
      <c r="C326" s="193" t="s">
        <v>189</v>
      </c>
      <c r="D326" s="192">
        <v>6188582000</v>
      </c>
      <c r="E326" s="192">
        <v>6188582000</v>
      </c>
      <c r="F326" s="192">
        <f>'Realisasi Juli'!G323</f>
        <v>1547145500</v>
      </c>
      <c r="G326" s="192"/>
      <c r="H326" s="192">
        <f t="shared" si="116"/>
        <v>1547145500</v>
      </c>
      <c r="I326" s="361">
        <f t="shared" si="112"/>
        <v>0.25</v>
      </c>
      <c r="J326" s="24">
        <f t="shared" si="99"/>
        <v>0.25</v>
      </c>
      <c r="K326" s="225"/>
      <c r="L326" s="175"/>
    </row>
    <row r="327" spans="1:12" s="176" customFormat="1" hidden="1" x14ac:dyDescent="0.25">
      <c r="A327" s="40"/>
      <c r="B327" s="43">
        <v>5</v>
      </c>
      <c r="C327" s="185" t="s">
        <v>190</v>
      </c>
      <c r="D327" s="191">
        <f>SUM(D328)</f>
        <v>0</v>
      </c>
      <c r="E327" s="191"/>
      <c r="F327" s="191"/>
      <c r="G327" s="191">
        <f>SUM(G328)</f>
        <v>0</v>
      </c>
      <c r="H327" s="192" t="e">
        <f>#REF!+G327</f>
        <v>#REF!</v>
      </c>
      <c r="I327" s="361" t="e">
        <f t="shared" si="112"/>
        <v>#REF!</v>
      </c>
      <c r="J327" s="236" t="e">
        <f t="shared" si="99"/>
        <v>#REF!</v>
      </c>
      <c r="K327" s="224"/>
      <c r="L327" s="175"/>
    </row>
    <row r="328" spans="1:12" s="176" customFormat="1" hidden="1" x14ac:dyDescent="0.25">
      <c r="A328" s="40"/>
      <c r="B328" s="44"/>
      <c r="C328" s="193" t="s">
        <v>191</v>
      </c>
      <c r="D328" s="192">
        <v>0</v>
      </c>
      <c r="E328" s="192"/>
      <c r="F328" s="192"/>
      <c r="G328" s="192">
        <v>0</v>
      </c>
      <c r="H328" s="192" t="e">
        <f>#REF!+G328</f>
        <v>#REF!</v>
      </c>
      <c r="I328" s="361" t="e">
        <f t="shared" si="112"/>
        <v>#REF!</v>
      </c>
      <c r="J328" s="236" t="e">
        <f t="shared" si="99"/>
        <v>#REF!</v>
      </c>
      <c r="K328" s="223"/>
      <c r="L328" s="175"/>
    </row>
    <row r="329" spans="1:12" s="176" customFormat="1" x14ac:dyDescent="0.25">
      <c r="A329" s="40"/>
      <c r="B329" s="43">
        <v>5</v>
      </c>
      <c r="C329" s="185" t="s">
        <v>192</v>
      </c>
      <c r="D329" s="191">
        <f>SUM(D330:D331)</f>
        <v>0</v>
      </c>
      <c r="E329" s="191"/>
      <c r="F329" s="191">
        <f t="shared" ref="F329:H329" si="119">SUM(F330:F331)</f>
        <v>0</v>
      </c>
      <c r="G329" s="191">
        <f t="shared" si="119"/>
        <v>0</v>
      </c>
      <c r="H329" s="191">
        <f t="shared" si="119"/>
        <v>0</v>
      </c>
      <c r="I329" s="359" t="e">
        <f>H329/D329</f>
        <v>#DIV/0!</v>
      </c>
      <c r="J329" s="236" t="e">
        <f t="shared" si="99"/>
        <v>#DIV/0!</v>
      </c>
      <c r="K329" s="223"/>
      <c r="L329" s="175"/>
    </row>
    <row r="330" spans="1:12" s="176" customFormat="1" x14ac:dyDescent="0.25">
      <c r="A330" s="40"/>
      <c r="B330" s="190" t="s">
        <v>539</v>
      </c>
      <c r="C330" s="193" t="s">
        <v>193</v>
      </c>
      <c r="D330" s="192"/>
      <c r="E330" s="192"/>
      <c r="F330" s="192"/>
      <c r="G330" s="192"/>
      <c r="H330" s="192">
        <f>F330+G330</f>
        <v>0</v>
      </c>
      <c r="I330" s="361" t="e">
        <f>H330/D330</f>
        <v>#DIV/0!</v>
      </c>
      <c r="J330" s="24" t="e">
        <f t="shared" si="99"/>
        <v>#DIV/0!</v>
      </c>
      <c r="K330" s="225" t="s">
        <v>470</v>
      </c>
      <c r="L330" s="175"/>
    </row>
    <row r="331" spans="1:12" s="176" customFormat="1" x14ac:dyDescent="0.25">
      <c r="A331" s="40"/>
      <c r="B331" s="190" t="s">
        <v>540</v>
      </c>
      <c r="C331" s="193" t="s">
        <v>194</v>
      </c>
      <c r="D331" s="192"/>
      <c r="E331" s="192"/>
      <c r="F331" s="192"/>
      <c r="G331" s="192"/>
      <c r="H331" s="192">
        <f>F331+G331</f>
        <v>0</v>
      </c>
      <c r="I331" s="361" t="e">
        <f>H331/D331</f>
        <v>#DIV/0!</v>
      </c>
      <c r="J331" s="24" t="e">
        <f t="shared" si="99"/>
        <v>#DIV/0!</v>
      </c>
      <c r="K331" s="225" t="s">
        <v>470</v>
      </c>
      <c r="L331" s="175"/>
    </row>
    <row r="332" spans="1:12" s="176" customFormat="1" x14ac:dyDescent="0.25">
      <c r="A332" s="40"/>
      <c r="B332" s="43">
        <v>6</v>
      </c>
      <c r="C332" s="170" t="s">
        <v>206</v>
      </c>
      <c r="D332" s="191">
        <f>D333</f>
        <v>7340205000</v>
      </c>
      <c r="E332" s="191">
        <f>E333</f>
        <v>7340205000</v>
      </c>
      <c r="F332" s="191">
        <f t="shared" ref="F332:H332" si="120">F333</f>
        <v>1835051250</v>
      </c>
      <c r="G332" s="191">
        <f t="shared" si="120"/>
        <v>3303092250</v>
      </c>
      <c r="H332" s="191">
        <f t="shared" si="120"/>
        <v>5138143500</v>
      </c>
      <c r="I332" s="359">
        <f>H332/D332</f>
        <v>0.7</v>
      </c>
      <c r="J332" s="236">
        <f t="shared" si="99"/>
        <v>0.7</v>
      </c>
      <c r="K332" s="225"/>
      <c r="L332" s="175"/>
    </row>
    <row r="333" spans="1:12" s="176" customFormat="1" x14ac:dyDescent="0.25">
      <c r="A333" s="40"/>
      <c r="B333" s="190"/>
      <c r="C333" s="48" t="s">
        <v>210</v>
      </c>
      <c r="D333" s="192">
        <v>7340205000</v>
      </c>
      <c r="E333" s="192">
        <v>7340205000</v>
      </c>
      <c r="F333" s="192">
        <f>'Realisasi Juni'!G329</f>
        <v>1835051250</v>
      </c>
      <c r="G333" s="192">
        <v>3303092250</v>
      </c>
      <c r="H333" s="192">
        <f>F333+G333</f>
        <v>5138143500</v>
      </c>
      <c r="I333" s="361">
        <f>H333/D333</f>
        <v>0.7</v>
      </c>
      <c r="J333" s="24">
        <f t="shared" si="99"/>
        <v>0.7</v>
      </c>
      <c r="K333" s="225"/>
      <c r="L333" s="175"/>
    </row>
    <row r="334" spans="1:12" s="176" customFormat="1" x14ac:dyDescent="0.25">
      <c r="A334" s="40"/>
      <c r="B334" s="178"/>
      <c r="C334" s="183"/>
      <c r="D334" s="192"/>
      <c r="E334" s="192"/>
      <c r="F334" s="192"/>
      <c r="G334" s="192"/>
      <c r="H334" s="191"/>
      <c r="I334" s="359"/>
      <c r="J334" s="236"/>
      <c r="K334" s="224"/>
      <c r="L334" s="175"/>
    </row>
    <row r="335" spans="1:12" s="176" customFormat="1" ht="37.5" hidden="1" customHeight="1" x14ac:dyDescent="0.25">
      <c r="A335" s="293"/>
      <c r="B335" s="262" t="s">
        <v>414</v>
      </c>
      <c r="C335" s="45" t="s">
        <v>195</v>
      </c>
      <c r="D335" s="42">
        <f>SUM(D336+D345+D347+D349+D351+D353+D355)</f>
        <v>0</v>
      </c>
      <c r="E335" s="42">
        <f>SUM(E336+E345+E347+E349+E351+E353+E355)</f>
        <v>0</v>
      </c>
      <c r="F335" s="42">
        <f t="shared" ref="F335:H335" si="121">SUM(F336+F345+F347+F349+F351+F353+F355)</f>
        <v>0</v>
      </c>
      <c r="G335" s="42">
        <f t="shared" si="121"/>
        <v>0</v>
      </c>
      <c r="H335" s="42">
        <f t="shared" si="121"/>
        <v>0</v>
      </c>
      <c r="I335" s="360" t="e">
        <f>H335/D335</f>
        <v>#DIV/0!</v>
      </c>
      <c r="J335" s="237" t="e">
        <f t="shared" si="99"/>
        <v>#DIV/0!</v>
      </c>
      <c r="K335" s="225" t="s">
        <v>469</v>
      </c>
      <c r="L335" s="175"/>
    </row>
    <row r="336" spans="1:12" s="176" customFormat="1" hidden="1" x14ac:dyDescent="0.25">
      <c r="A336" s="40"/>
      <c r="B336" s="43">
        <v>1</v>
      </c>
      <c r="C336" s="185" t="s">
        <v>177</v>
      </c>
      <c r="D336" s="191">
        <f>SUM(D338:D343)</f>
        <v>0</v>
      </c>
      <c r="E336" s="191">
        <f>SUM(E338:E343)</f>
        <v>0</v>
      </c>
      <c r="F336" s="191">
        <f t="shared" ref="F336:H336" si="122">SUM(F338:F343)</f>
        <v>0</v>
      </c>
      <c r="G336" s="191">
        <f t="shared" si="122"/>
        <v>0</v>
      </c>
      <c r="H336" s="191">
        <f t="shared" si="122"/>
        <v>0</v>
      </c>
      <c r="I336" s="359" t="e">
        <f>H336/D336</f>
        <v>#DIV/0!</v>
      </c>
      <c r="J336" s="236" t="e">
        <f t="shared" ref="J336:J398" si="123">H336/E336</f>
        <v>#DIV/0!</v>
      </c>
      <c r="K336" s="225"/>
      <c r="L336" s="175"/>
    </row>
    <row r="337" spans="1:12" s="176" customFormat="1" hidden="1" x14ac:dyDescent="0.25">
      <c r="A337" s="40"/>
      <c r="B337" s="44"/>
      <c r="C337" s="193" t="s">
        <v>196</v>
      </c>
      <c r="D337" s="192">
        <v>0</v>
      </c>
      <c r="E337" s="192"/>
      <c r="F337" s="192"/>
      <c r="G337" s="192">
        <v>0</v>
      </c>
      <c r="H337" s="191" t="e">
        <f>#REF!+G337</f>
        <v>#REF!</v>
      </c>
      <c r="I337" s="359" t="e">
        <f t="shared" ref="I337" si="124">H337/D337</f>
        <v>#REF!</v>
      </c>
      <c r="J337" s="236" t="e">
        <f t="shared" si="123"/>
        <v>#REF!</v>
      </c>
      <c r="K337" s="223"/>
      <c r="L337" s="175"/>
    </row>
    <row r="338" spans="1:12" s="176" customFormat="1" hidden="1" x14ac:dyDescent="0.25">
      <c r="A338" s="40"/>
      <c r="B338" s="190" t="s">
        <v>388</v>
      </c>
      <c r="C338" s="193" t="s">
        <v>197</v>
      </c>
      <c r="D338" s="192">
        <v>0</v>
      </c>
      <c r="E338" s="192"/>
      <c r="F338" s="192">
        <f>'Realisasi Juli'!G335</f>
        <v>0</v>
      </c>
      <c r="G338" s="192"/>
      <c r="H338" s="192">
        <f>F338+G338</f>
        <v>0</v>
      </c>
      <c r="I338" s="361"/>
      <c r="J338" s="236"/>
      <c r="K338" s="225"/>
      <c r="L338" s="175"/>
    </row>
    <row r="339" spans="1:12" s="176" customFormat="1" ht="18" hidden="1" customHeight="1" x14ac:dyDescent="0.25">
      <c r="A339" s="40"/>
      <c r="B339" s="44"/>
      <c r="C339" s="193" t="s">
        <v>198</v>
      </c>
      <c r="D339" s="192"/>
      <c r="E339" s="192"/>
      <c r="F339" s="192">
        <f>'Realisasi Juli'!G336</f>
        <v>0</v>
      </c>
      <c r="G339" s="192"/>
      <c r="H339" s="192">
        <f t="shared" ref="H339:H343" si="125">F339+G339</f>
        <v>0</v>
      </c>
      <c r="I339" s="361"/>
      <c r="J339" s="236"/>
      <c r="K339" s="223"/>
      <c r="L339" s="175"/>
    </row>
    <row r="340" spans="1:12" s="176" customFormat="1" hidden="1" x14ac:dyDescent="0.25">
      <c r="A340" s="40"/>
      <c r="B340" s="190" t="s">
        <v>389</v>
      </c>
      <c r="C340" s="193" t="s">
        <v>199</v>
      </c>
      <c r="D340" s="192">
        <v>0</v>
      </c>
      <c r="E340" s="192"/>
      <c r="F340" s="192">
        <f>'Realisasi Juli'!G337</f>
        <v>0</v>
      </c>
      <c r="G340" s="192"/>
      <c r="H340" s="192">
        <f t="shared" si="125"/>
        <v>0</v>
      </c>
      <c r="I340" s="361"/>
      <c r="J340" s="236"/>
      <c r="K340" s="225"/>
      <c r="L340" s="175"/>
    </row>
    <row r="341" spans="1:12" s="176" customFormat="1" hidden="1" x14ac:dyDescent="0.25">
      <c r="A341" s="40"/>
      <c r="B341" s="44"/>
      <c r="C341" s="193" t="s">
        <v>200</v>
      </c>
      <c r="D341" s="192">
        <v>0</v>
      </c>
      <c r="E341" s="192"/>
      <c r="F341" s="192">
        <f>'Realisasi Juli'!G338</f>
        <v>0</v>
      </c>
      <c r="G341" s="192"/>
      <c r="H341" s="192">
        <f t="shared" si="125"/>
        <v>0</v>
      </c>
      <c r="I341" s="361"/>
      <c r="J341" s="236"/>
      <c r="K341" s="223"/>
      <c r="L341" s="175"/>
    </row>
    <row r="342" spans="1:12" s="176" customFormat="1" hidden="1" x14ac:dyDescent="0.25">
      <c r="A342" s="40"/>
      <c r="B342" s="44"/>
      <c r="C342" s="193" t="s">
        <v>201</v>
      </c>
      <c r="D342" s="192">
        <v>0</v>
      </c>
      <c r="E342" s="192"/>
      <c r="F342" s="192">
        <f>'Realisasi Juli'!G339</f>
        <v>0</v>
      </c>
      <c r="G342" s="192"/>
      <c r="H342" s="192">
        <f t="shared" si="125"/>
        <v>0</v>
      </c>
      <c r="I342" s="361"/>
      <c r="J342" s="236"/>
      <c r="K342" s="225"/>
      <c r="L342" s="175"/>
    </row>
    <row r="343" spans="1:12" s="176" customFormat="1" hidden="1" x14ac:dyDescent="0.25">
      <c r="A343" s="40"/>
      <c r="B343" s="190" t="s">
        <v>541</v>
      </c>
      <c r="C343" s="193" t="s">
        <v>390</v>
      </c>
      <c r="D343" s="192"/>
      <c r="E343" s="192"/>
      <c r="F343" s="192">
        <f>'Realisasi Juli'!G340</f>
        <v>0</v>
      </c>
      <c r="G343" s="192"/>
      <c r="H343" s="192">
        <f t="shared" si="125"/>
        <v>0</v>
      </c>
      <c r="I343" s="361"/>
      <c r="J343" s="236"/>
      <c r="K343" s="225" t="s">
        <v>470</v>
      </c>
      <c r="L343" s="175"/>
    </row>
    <row r="344" spans="1:12" s="176" customFormat="1" hidden="1" x14ac:dyDescent="0.25">
      <c r="A344" s="40"/>
      <c r="B344" s="44"/>
      <c r="C344" s="183"/>
      <c r="D344" s="192"/>
      <c r="E344" s="192"/>
      <c r="F344" s="192"/>
      <c r="G344" s="192"/>
      <c r="H344" s="191"/>
      <c r="I344" s="361"/>
      <c r="J344" s="236"/>
      <c r="K344" s="223"/>
      <c r="L344" s="175"/>
    </row>
    <row r="345" spans="1:12" s="176" customFormat="1" hidden="1" x14ac:dyDescent="0.25">
      <c r="A345" s="40"/>
      <c r="B345" s="43">
        <v>2</v>
      </c>
      <c r="C345" s="185" t="s">
        <v>202</v>
      </c>
      <c r="D345" s="191">
        <f>SUM(D346:D346)</f>
        <v>0</v>
      </c>
      <c r="E345" s="191"/>
      <c r="F345" s="191"/>
      <c r="G345" s="191">
        <f t="shared" ref="G345:H345" si="126">SUM(G346:G346)</f>
        <v>0</v>
      </c>
      <c r="H345" s="191">
        <f t="shared" si="126"/>
        <v>0</v>
      </c>
      <c r="I345" s="359"/>
      <c r="J345" s="236"/>
      <c r="K345" s="224"/>
      <c r="L345" s="175"/>
    </row>
    <row r="346" spans="1:12" s="176" customFormat="1" hidden="1" x14ac:dyDescent="0.25">
      <c r="A346" s="40"/>
      <c r="B346" s="190" t="s">
        <v>542</v>
      </c>
      <c r="C346" s="193" t="s">
        <v>391</v>
      </c>
      <c r="D346" s="192"/>
      <c r="E346" s="192"/>
      <c r="F346" s="192"/>
      <c r="G346" s="192"/>
      <c r="H346" s="192">
        <f>F346+G346</f>
        <v>0</v>
      </c>
      <c r="I346" s="361"/>
      <c r="J346" s="236"/>
      <c r="K346" s="225" t="s">
        <v>470</v>
      </c>
      <c r="L346" s="175"/>
    </row>
    <row r="347" spans="1:12" s="176" customFormat="1" hidden="1" x14ac:dyDescent="0.25">
      <c r="A347" s="40"/>
      <c r="B347" s="43">
        <v>3</v>
      </c>
      <c r="C347" s="185" t="s">
        <v>203</v>
      </c>
      <c r="D347" s="191">
        <f>SUM(D348:D348)</f>
        <v>0</v>
      </c>
      <c r="E347" s="191"/>
      <c r="F347" s="191"/>
      <c r="G347" s="191">
        <f t="shared" ref="G347:H347" si="127">SUM(G348:G348)</f>
        <v>0</v>
      </c>
      <c r="H347" s="191">
        <f t="shared" si="127"/>
        <v>0</v>
      </c>
      <c r="I347" s="359"/>
      <c r="J347" s="236"/>
      <c r="K347" s="224"/>
      <c r="L347" s="175"/>
    </row>
    <row r="348" spans="1:12" s="176" customFormat="1" hidden="1" x14ac:dyDescent="0.25">
      <c r="A348" s="40"/>
      <c r="B348" s="190" t="s">
        <v>543</v>
      </c>
      <c r="C348" s="193" t="s">
        <v>392</v>
      </c>
      <c r="D348" s="192"/>
      <c r="E348" s="192"/>
      <c r="F348" s="192"/>
      <c r="G348" s="192"/>
      <c r="H348" s="192">
        <f>F348+G348</f>
        <v>0</v>
      </c>
      <c r="I348" s="361"/>
      <c r="J348" s="236"/>
      <c r="K348" s="225" t="s">
        <v>469</v>
      </c>
      <c r="L348" s="175"/>
    </row>
    <row r="349" spans="1:12" s="176" customFormat="1" hidden="1" x14ac:dyDescent="0.25">
      <c r="A349" s="40"/>
      <c r="B349" s="43">
        <v>4</v>
      </c>
      <c r="C349" s="185" t="s">
        <v>192</v>
      </c>
      <c r="D349" s="191">
        <f>SUM(D350)</f>
        <v>0</v>
      </c>
      <c r="E349" s="191"/>
      <c r="F349" s="191"/>
      <c r="G349" s="191">
        <f t="shared" ref="G349:H349" si="128">SUM(G350)</f>
        <v>0</v>
      </c>
      <c r="H349" s="191">
        <f t="shared" si="128"/>
        <v>0</v>
      </c>
      <c r="I349" s="359"/>
      <c r="J349" s="236"/>
      <c r="K349" s="224"/>
      <c r="L349" s="175"/>
    </row>
    <row r="350" spans="1:12" s="176" customFormat="1" hidden="1" x14ac:dyDescent="0.25">
      <c r="A350" s="40"/>
      <c r="B350" s="190" t="s">
        <v>544</v>
      </c>
      <c r="C350" s="47" t="s">
        <v>393</v>
      </c>
      <c r="D350" s="192"/>
      <c r="E350" s="192"/>
      <c r="F350" s="192"/>
      <c r="G350" s="192"/>
      <c r="H350" s="192">
        <f>F350+G350</f>
        <v>0</v>
      </c>
      <c r="I350" s="361"/>
      <c r="J350" s="236"/>
      <c r="K350" s="225" t="s">
        <v>469</v>
      </c>
      <c r="L350" s="175"/>
    </row>
    <row r="351" spans="1:12" s="176" customFormat="1" hidden="1" x14ac:dyDescent="0.25">
      <c r="A351" s="40"/>
      <c r="B351" s="43">
        <v>5</v>
      </c>
      <c r="C351" s="185" t="s">
        <v>204</v>
      </c>
      <c r="D351" s="191">
        <f>SUM(D352:D352)</f>
        <v>0</v>
      </c>
      <c r="E351" s="191"/>
      <c r="F351" s="191"/>
      <c r="G351" s="191">
        <f t="shared" ref="G351:H351" si="129">SUM(G352:G352)</f>
        <v>0</v>
      </c>
      <c r="H351" s="191">
        <f t="shared" si="129"/>
        <v>0</v>
      </c>
      <c r="I351" s="359"/>
      <c r="J351" s="236"/>
      <c r="K351" s="223"/>
      <c r="L351" s="175"/>
    </row>
    <row r="352" spans="1:12" s="176" customFormat="1" hidden="1" x14ac:dyDescent="0.25">
      <c r="A352" s="40"/>
      <c r="B352" s="190" t="s">
        <v>545</v>
      </c>
      <c r="C352" s="47" t="s">
        <v>394</v>
      </c>
      <c r="D352" s="192"/>
      <c r="E352" s="192"/>
      <c r="F352" s="192"/>
      <c r="G352" s="192"/>
      <c r="H352" s="192">
        <f>F352+G352</f>
        <v>0</v>
      </c>
      <c r="I352" s="361"/>
      <c r="J352" s="236"/>
      <c r="K352" s="225"/>
      <c r="L352" s="175"/>
    </row>
    <row r="353" spans="1:12" s="176" customFormat="1" hidden="1" x14ac:dyDescent="0.25">
      <c r="A353" s="40"/>
      <c r="B353" s="43">
        <v>6</v>
      </c>
      <c r="C353" s="185" t="s">
        <v>205</v>
      </c>
      <c r="D353" s="191">
        <f>SUM(D354:D354)</f>
        <v>0</v>
      </c>
      <c r="E353" s="191"/>
      <c r="F353" s="191">
        <f t="shared" ref="F353:H353" si="130">SUM(F354:F354)</f>
        <v>0</v>
      </c>
      <c r="G353" s="191">
        <f t="shared" si="130"/>
        <v>0</v>
      </c>
      <c r="H353" s="191">
        <f t="shared" si="130"/>
        <v>0</v>
      </c>
      <c r="I353" s="369"/>
      <c r="J353" s="236"/>
      <c r="K353" s="223"/>
      <c r="L353" s="175"/>
    </row>
    <row r="354" spans="1:12" s="176" customFormat="1" hidden="1" x14ac:dyDescent="0.25">
      <c r="A354" s="40"/>
      <c r="B354" s="190" t="s">
        <v>376</v>
      </c>
      <c r="C354" s="48" t="s">
        <v>395</v>
      </c>
      <c r="D354" s="192">
        <v>0</v>
      </c>
      <c r="E354" s="192"/>
      <c r="F354" s="192"/>
      <c r="G354" s="192"/>
      <c r="H354" s="192">
        <f>F354+G354</f>
        <v>0</v>
      </c>
      <c r="I354" s="364"/>
      <c r="J354" s="236"/>
      <c r="K354" s="225"/>
      <c r="L354" s="175"/>
    </row>
    <row r="355" spans="1:12" s="176" customFormat="1" hidden="1" x14ac:dyDescent="0.25">
      <c r="A355" s="40"/>
      <c r="B355" s="46">
        <v>7</v>
      </c>
      <c r="C355" s="170" t="s">
        <v>206</v>
      </c>
      <c r="D355" s="191">
        <f>D356</f>
        <v>0</v>
      </c>
      <c r="E355" s="191"/>
      <c r="F355" s="191"/>
      <c r="G355" s="191">
        <f t="shared" ref="G355:H355" si="131">G356</f>
        <v>0</v>
      </c>
      <c r="H355" s="191">
        <f t="shared" si="131"/>
        <v>0</v>
      </c>
      <c r="I355" s="359"/>
      <c r="J355" s="236"/>
      <c r="K355" s="225"/>
      <c r="L355" s="175"/>
    </row>
    <row r="356" spans="1:12" s="176" customFormat="1" hidden="1" x14ac:dyDescent="0.25">
      <c r="A356" s="40"/>
      <c r="B356" s="190" t="s">
        <v>546</v>
      </c>
      <c r="C356" s="48" t="s">
        <v>207</v>
      </c>
      <c r="D356" s="192"/>
      <c r="E356" s="192"/>
      <c r="F356" s="192"/>
      <c r="G356" s="192"/>
      <c r="H356" s="192">
        <f>F356+G356</f>
        <v>0</v>
      </c>
      <c r="I356" s="361"/>
      <c r="J356" s="236"/>
      <c r="K356" s="225" t="s">
        <v>469</v>
      </c>
      <c r="L356" s="175"/>
    </row>
    <row r="357" spans="1:12" s="176" customFormat="1" hidden="1" x14ac:dyDescent="0.25">
      <c r="A357" s="40"/>
      <c r="B357" s="46"/>
      <c r="C357" s="49"/>
      <c r="D357" s="50"/>
      <c r="E357" s="50"/>
      <c r="F357" s="50"/>
      <c r="G357" s="50"/>
      <c r="H357" s="191"/>
      <c r="I357" s="359"/>
      <c r="J357" s="236"/>
      <c r="K357" s="223"/>
      <c r="L357" s="175"/>
    </row>
    <row r="358" spans="1:12" s="176" customFormat="1" ht="36.75" hidden="1" customHeight="1" x14ac:dyDescent="0.25">
      <c r="A358" s="293"/>
      <c r="B358" s="262" t="s">
        <v>415</v>
      </c>
      <c r="C358" s="41" t="s">
        <v>208</v>
      </c>
      <c r="D358" s="42">
        <f>SUM(D359+D361+D363+D366+D368+D370)</f>
        <v>0</v>
      </c>
      <c r="E358" s="42"/>
      <c r="F358" s="42"/>
      <c r="G358" s="42">
        <f>SUM(G359+G361+G363+G366+G368+G370)</f>
        <v>0</v>
      </c>
      <c r="H358" s="42">
        <f t="shared" ref="H358:H371" si="132">G358-D358</f>
        <v>0</v>
      </c>
      <c r="I358" s="360"/>
      <c r="J358" s="237" t="e">
        <f t="shared" si="123"/>
        <v>#DIV/0!</v>
      </c>
      <c r="K358" s="226"/>
      <c r="L358" s="175"/>
    </row>
    <row r="359" spans="1:12" s="176" customFormat="1" hidden="1" x14ac:dyDescent="0.25">
      <c r="A359" s="40"/>
      <c r="B359" s="51">
        <v>1</v>
      </c>
      <c r="C359" s="35" t="s">
        <v>209</v>
      </c>
      <c r="D359" s="191">
        <f>SUM(D360:D360)</f>
        <v>0</v>
      </c>
      <c r="E359" s="191"/>
      <c r="F359" s="191"/>
      <c r="G359" s="191">
        <f>SUM(G360:G360)</f>
        <v>0</v>
      </c>
      <c r="H359" s="191">
        <f t="shared" si="132"/>
        <v>0</v>
      </c>
      <c r="I359" s="359"/>
      <c r="J359" s="236"/>
      <c r="K359" s="224"/>
      <c r="L359" s="175"/>
    </row>
    <row r="360" spans="1:12" s="176" customFormat="1" hidden="1" x14ac:dyDescent="0.25">
      <c r="A360" s="40"/>
      <c r="B360" s="190" t="s">
        <v>380</v>
      </c>
      <c r="C360" s="193" t="s">
        <v>210</v>
      </c>
      <c r="D360" s="192">
        <v>0</v>
      </c>
      <c r="E360" s="192"/>
      <c r="F360" s="192"/>
      <c r="G360" s="192">
        <v>0</v>
      </c>
      <c r="H360" s="192">
        <f t="shared" si="132"/>
        <v>0</v>
      </c>
      <c r="I360" s="361"/>
      <c r="J360" s="236"/>
      <c r="K360" s="225"/>
      <c r="L360" s="175"/>
    </row>
    <row r="361" spans="1:12" s="176" customFormat="1" hidden="1" x14ac:dyDescent="0.25">
      <c r="A361" s="40"/>
      <c r="B361" s="51">
        <v>2</v>
      </c>
      <c r="C361" s="35" t="s">
        <v>211</v>
      </c>
      <c r="D361" s="191">
        <f>SUM(D362)</f>
        <v>0</v>
      </c>
      <c r="E361" s="191"/>
      <c r="F361" s="191"/>
      <c r="G361" s="191">
        <f>SUM(G362)</f>
        <v>0</v>
      </c>
      <c r="H361" s="191">
        <f t="shared" si="132"/>
        <v>0</v>
      </c>
      <c r="I361" s="359"/>
      <c r="J361" s="236"/>
      <c r="K361" s="224"/>
      <c r="L361" s="175"/>
    </row>
    <row r="362" spans="1:12" s="176" customFormat="1" hidden="1" x14ac:dyDescent="0.25">
      <c r="A362" s="40"/>
      <c r="B362" s="190" t="s">
        <v>383</v>
      </c>
      <c r="C362" s="193" t="s">
        <v>194</v>
      </c>
      <c r="D362" s="192">
        <v>0</v>
      </c>
      <c r="E362" s="192"/>
      <c r="F362" s="192"/>
      <c r="G362" s="192">
        <v>0</v>
      </c>
      <c r="H362" s="192">
        <f t="shared" si="132"/>
        <v>0</v>
      </c>
      <c r="I362" s="361"/>
      <c r="J362" s="236"/>
      <c r="K362" s="225"/>
      <c r="L362" s="175"/>
    </row>
    <row r="363" spans="1:12" s="176" customFormat="1" hidden="1" x14ac:dyDescent="0.25">
      <c r="A363" s="40"/>
      <c r="B363" s="51">
        <v>3</v>
      </c>
      <c r="C363" s="185" t="s">
        <v>172</v>
      </c>
      <c r="D363" s="191">
        <f>SUM(D364:D365)</f>
        <v>0</v>
      </c>
      <c r="E363" s="191"/>
      <c r="F363" s="191"/>
      <c r="G363" s="191">
        <f>SUM(G364:G365)</f>
        <v>0</v>
      </c>
      <c r="H363" s="191">
        <f t="shared" si="132"/>
        <v>0</v>
      </c>
      <c r="I363" s="359"/>
      <c r="J363" s="236"/>
      <c r="K363" s="224"/>
      <c r="L363" s="175"/>
    </row>
    <row r="364" spans="1:12" s="176" customFormat="1" hidden="1" x14ac:dyDescent="0.25">
      <c r="A364" s="40"/>
      <c r="B364" s="190" t="s">
        <v>377</v>
      </c>
      <c r="C364" s="193" t="s">
        <v>174</v>
      </c>
      <c r="D364" s="192"/>
      <c r="E364" s="192"/>
      <c r="F364" s="192"/>
      <c r="G364" s="192"/>
      <c r="H364" s="192">
        <f t="shared" si="132"/>
        <v>0</v>
      </c>
      <c r="I364" s="361"/>
      <c r="J364" s="236"/>
      <c r="K364" s="225"/>
      <c r="L364" s="175"/>
    </row>
    <row r="365" spans="1:12" s="176" customFormat="1" hidden="1" x14ac:dyDescent="0.25">
      <c r="A365" s="40"/>
      <c r="B365" s="190" t="s">
        <v>378</v>
      </c>
      <c r="C365" s="193" t="s">
        <v>175</v>
      </c>
      <c r="D365" s="192"/>
      <c r="E365" s="192"/>
      <c r="F365" s="192"/>
      <c r="G365" s="192"/>
      <c r="H365" s="192">
        <f t="shared" si="132"/>
        <v>0</v>
      </c>
      <c r="I365" s="361"/>
      <c r="J365" s="236"/>
      <c r="K365" s="225"/>
      <c r="L365" s="175"/>
    </row>
    <row r="366" spans="1:12" s="176" customFormat="1" hidden="1" x14ac:dyDescent="0.25">
      <c r="A366" s="40"/>
      <c r="B366" s="51">
        <v>4</v>
      </c>
      <c r="C366" s="35" t="s">
        <v>212</v>
      </c>
      <c r="D366" s="191">
        <f>D367</f>
        <v>0</v>
      </c>
      <c r="E366" s="191"/>
      <c r="F366" s="191"/>
      <c r="G366" s="191">
        <f>G367</f>
        <v>0</v>
      </c>
      <c r="H366" s="191">
        <f t="shared" si="132"/>
        <v>0</v>
      </c>
      <c r="I366" s="359"/>
      <c r="J366" s="236"/>
      <c r="K366" s="225"/>
      <c r="L366" s="175"/>
    </row>
    <row r="367" spans="1:12" s="176" customFormat="1" hidden="1" x14ac:dyDescent="0.25">
      <c r="A367" s="40"/>
      <c r="B367" s="190" t="s">
        <v>381</v>
      </c>
      <c r="C367" s="193" t="s">
        <v>189</v>
      </c>
      <c r="D367" s="191">
        <v>0</v>
      </c>
      <c r="E367" s="191"/>
      <c r="F367" s="191"/>
      <c r="G367" s="191">
        <v>0</v>
      </c>
      <c r="H367" s="192">
        <f t="shared" si="132"/>
        <v>0</v>
      </c>
      <c r="I367" s="359"/>
      <c r="J367" s="236"/>
      <c r="K367" s="225"/>
      <c r="L367" s="175"/>
    </row>
    <row r="368" spans="1:12" s="176" customFormat="1" hidden="1" x14ac:dyDescent="0.25">
      <c r="A368" s="40"/>
      <c r="B368" s="51">
        <v>5</v>
      </c>
      <c r="C368" s="35" t="s">
        <v>213</v>
      </c>
      <c r="D368" s="191">
        <f>SUM(D369:D369)</f>
        <v>0</v>
      </c>
      <c r="E368" s="191"/>
      <c r="F368" s="191"/>
      <c r="G368" s="191">
        <f>SUM(G369:G369)</f>
        <v>0</v>
      </c>
      <c r="H368" s="191">
        <f t="shared" si="132"/>
        <v>0</v>
      </c>
      <c r="I368" s="359"/>
      <c r="J368" s="236"/>
      <c r="K368" s="224"/>
      <c r="L368" s="175"/>
    </row>
    <row r="369" spans="1:12" s="176" customFormat="1" hidden="1" x14ac:dyDescent="0.25">
      <c r="A369" s="40"/>
      <c r="B369" s="190" t="s">
        <v>382</v>
      </c>
      <c r="C369" s="193" t="s">
        <v>187</v>
      </c>
      <c r="D369" s="192">
        <v>0</v>
      </c>
      <c r="E369" s="192"/>
      <c r="F369" s="192"/>
      <c r="G369" s="192">
        <v>0</v>
      </c>
      <c r="H369" s="192">
        <f t="shared" si="132"/>
        <v>0</v>
      </c>
      <c r="I369" s="361"/>
      <c r="J369" s="236"/>
      <c r="K369" s="225"/>
      <c r="L369" s="175"/>
    </row>
    <row r="370" spans="1:12" s="176" customFormat="1" hidden="1" x14ac:dyDescent="0.25">
      <c r="A370" s="40"/>
      <c r="B370" s="51">
        <v>6</v>
      </c>
      <c r="C370" s="35" t="s">
        <v>214</v>
      </c>
      <c r="D370" s="191">
        <f>SUM(D371:D371)</f>
        <v>0</v>
      </c>
      <c r="E370" s="191"/>
      <c r="F370" s="191"/>
      <c r="G370" s="191">
        <f>SUM(G371:G371)</f>
        <v>0</v>
      </c>
      <c r="H370" s="191">
        <f t="shared" si="132"/>
        <v>0</v>
      </c>
      <c r="I370" s="359"/>
      <c r="J370" s="236"/>
      <c r="K370" s="224"/>
      <c r="L370" s="175"/>
    </row>
    <row r="371" spans="1:12" s="176" customFormat="1" hidden="1" x14ac:dyDescent="0.25">
      <c r="A371" s="40"/>
      <c r="B371" s="190" t="s">
        <v>379</v>
      </c>
      <c r="C371" s="193" t="s">
        <v>215</v>
      </c>
      <c r="D371" s="192"/>
      <c r="E371" s="192"/>
      <c r="F371" s="192"/>
      <c r="G371" s="192"/>
      <c r="H371" s="192">
        <f t="shared" si="132"/>
        <v>0</v>
      </c>
      <c r="I371" s="361"/>
      <c r="J371" s="236"/>
      <c r="K371" s="225"/>
      <c r="L371" s="175"/>
    </row>
    <row r="372" spans="1:12" s="176" customFormat="1" x14ac:dyDescent="0.25">
      <c r="A372" s="40"/>
      <c r="B372" s="178"/>
      <c r="C372" s="183"/>
      <c r="D372" s="192"/>
      <c r="E372" s="192"/>
      <c r="F372" s="192"/>
      <c r="G372" s="192"/>
      <c r="H372" s="191"/>
      <c r="I372" s="359"/>
      <c r="J372" s="236"/>
      <c r="K372" s="224"/>
      <c r="L372" s="175"/>
    </row>
    <row r="373" spans="1:12" s="176" customFormat="1" ht="25.5" customHeight="1" x14ac:dyDescent="0.25">
      <c r="A373" s="138" t="s">
        <v>235</v>
      </c>
      <c r="B373" s="139" t="s">
        <v>384</v>
      </c>
      <c r="C373" s="140" t="s">
        <v>385</v>
      </c>
      <c r="D373" s="141">
        <f>SUM(D375+D377+O380+D380+D383+D386+D389+D392+D400+D403+D406+D409+D412+D415)</f>
        <v>121905428010</v>
      </c>
      <c r="E373" s="141">
        <f>SUM(E375+E377+P380+E380+E383+E386+E389+E392+E400+E403+E406+E409+E412+E415)</f>
        <v>121905428010</v>
      </c>
      <c r="F373" s="141">
        <f>SUM(F375+F377+P380+F380+F383+F386+F389+F392+F400+F403+F406+F409+F412+F415)</f>
        <v>33587786067</v>
      </c>
      <c r="G373" s="141">
        <f>SUM(G375+G377+Q380+G380+G383+G386+G389+G392+G400+G403+G406+G409+G412+G415)</f>
        <v>0</v>
      </c>
      <c r="H373" s="141">
        <f>SUM(H375+H377+R380+H380+H383+H386+H389+H392+H400+H403+H406+H409+H412+H415)</f>
        <v>33587786067</v>
      </c>
      <c r="I373" s="367">
        <f>H373/D373</f>
        <v>0.27552330208171505</v>
      </c>
      <c r="J373" s="240">
        <f t="shared" si="123"/>
        <v>0.27552330208171505</v>
      </c>
      <c r="K373" s="225" t="s">
        <v>216</v>
      </c>
      <c r="L373" s="175"/>
    </row>
    <row r="374" spans="1:12" s="176" customFormat="1" ht="21" customHeight="1" x14ac:dyDescent="0.25">
      <c r="A374" s="40"/>
      <c r="B374" s="167" t="s">
        <v>19</v>
      </c>
      <c r="C374" s="185" t="s">
        <v>635</v>
      </c>
      <c r="D374" s="191">
        <f>D375</f>
        <v>50738030000</v>
      </c>
      <c r="E374" s="191">
        <f>E375</f>
        <v>50738030000</v>
      </c>
      <c r="F374" s="191">
        <f>F375</f>
        <v>0</v>
      </c>
      <c r="G374" s="191">
        <f t="shared" ref="G374:H374" si="133">G375</f>
        <v>0</v>
      </c>
      <c r="H374" s="191">
        <f t="shared" si="133"/>
        <v>0</v>
      </c>
      <c r="I374" s="359">
        <f>H374/D374</f>
        <v>0</v>
      </c>
      <c r="J374" s="236">
        <f t="shared" si="123"/>
        <v>0</v>
      </c>
      <c r="K374" s="225" t="s">
        <v>218</v>
      </c>
      <c r="L374" s="175"/>
    </row>
    <row r="375" spans="1:12" s="176" customFormat="1" ht="21" customHeight="1" x14ac:dyDescent="0.25">
      <c r="A375" s="40"/>
      <c r="B375" s="190" t="s">
        <v>634</v>
      </c>
      <c r="C375" s="183" t="s">
        <v>636</v>
      </c>
      <c r="D375" s="192">
        <v>50738030000</v>
      </c>
      <c r="E375" s="192">
        <v>50738030000</v>
      </c>
      <c r="F375" s="192">
        <f>'Realisasi Juli'!G372</f>
        <v>0</v>
      </c>
      <c r="G375" s="192"/>
      <c r="H375" s="192">
        <f>F375+G375</f>
        <v>0</v>
      </c>
      <c r="I375" s="361">
        <f>H375/D375</f>
        <v>0</v>
      </c>
      <c r="J375" s="24">
        <f t="shared" si="123"/>
        <v>0</v>
      </c>
      <c r="K375" s="225"/>
      <c r="L375" s="175"/>
    </row>
    <row r="376" spans="1:12" s="176" customFormat="1" ht="25.5" customHeight="1" x14ac:dyDescent="0.25">
      <c r="A376" s="169"/>
      <c r="B376" s="189"/>
      <c r="C376" s="185"/>
      <c r="D376" s="191"/>
      <c r="E376" s="191"/>
      <c r="F376" s="192">
        <f>'Realisasi Juli'!G373</f>
        <v>0</v>
      </c>
      <c r="G376" s="191"/>
      <c r="H376" s="191"/>
      <c r="I376" s="359"/>
      <c r="J376" s="236"/>
      <c r="K376" s="225"/>
      <c r="L376" s="175"/>
    </row>
    <row r="377" spans="1:12" s="176" customFormat="1" ht="21" customHeight="1" x14ac:dyDescent="0.25">
      <c r="A377" s="40"/>
      <c r="B377" s="167" t="s">
        <v>39</v>
      </c>
      <c r="C377" s="185" t="s">
        <v>638</v>
      </c>
      <c r="D377" s="191">
        <f>D378</f>
        <v>1125000000</v>
      </c>
      <c r="E377" s="191">
        <f>E378</f>
        <v>1125000000</v>
      </c>
      <c r="F377" s="191">
        <f>F378</f>
        <v>0</v>
      </c>
      <c r="G377" s="191">
        <f t="shared" ref="G377:H377" si="134">G378</f>
        <v>0</v>
      </c>
      <c r="H377" s="191">
        <f t="shared" si="134"/>
        <v>0</v>
      </c>
      <c r="I377" s="359">
        <f>H377/D377</f>
        <v>0</v>
      </c>
      <c r="J377" s="236">
        <f t="shared" si="123"/>
        <v>0</v>
      </c>
      <c r="K377" s="225" t="s">
        <v>218</v>
      </c>
      <c r="L377" s="175"/>
    </row>
    <row r="378" spans="1:12" s="176" customFormat="1" ht="21" customHeight="1" x14ac:dyDescent="0.25">
      <c r="A378" s="40"/>
      <c r="B378" s="190" t="s">
        <v>637</v>
      </c>
      <c r="C378" s="183" t="s">
        <v>639</v>
      </c>
      <c r="D378" s="192">
        <v>1125000000</v>
      </c>
      <c r="E378" s="192">
        <v>1125000000</v>
      </c>
      <c r="F378" s="192">
        <f>'Realisasi Juli'!G375</f>
        <v>0</v>
      </c>
      <c r="G378" s="192"/>
      <c r="H378" s="192">
        <f>F378+G378</f>
        <v>0</v>
      </c>
      <c r="I378" s="361">
        <f>H378/D378</f>
        <v>0</v>
      </c>
      <c r="J378" s="24">
        <f t="shared" si="123"/>
        <v>0</v>
      </c>
      <c r="K378" s="225"/>
      <c r="L378" s="175"/>
    </row>
    <row r="379" spans="1:12" s="176" customFormat="1" ht="21" customHeight="1" x14ac:dyDescent="0.25">
      <c r="A379" s="40"/>
      <c r="B379" s="190"/>
      <c r="C379" s="183"/>
      <c r="D379" s="192"/>
      <c r="E379" s="192"/>
      <c r="F379" s="192">
        <f>'Realisasi Juli'!G376</f>
        <v>0</v>
      </c>
      <c r="G379" s="192"/>
      <c r="H379" s="192"/>
      <c r="I379" s="361"/>
      <c r="J379" s="236"/>
      <c r="K379" s="225"/>
      <c r="L379" s="175"/>
    </row>
    <row r="380" spans="1:12" s="176" customFormat="1" ht="21" customHeight="1" x14ac:dyDescent="0.25">
      <c r="A380" s="40"/>
      <c r="B380" s="167" t="s">
        <v>19</v>
      </c>
      <c r="C380" s="185" t="s">
        <v>217</v>
      </c>
      <c r="D380" s="191">
        <f>D381</f>
        <v>2661700000</v>
      </c>
      <c r="E380" s="191">
        <f>E381</f>
        <v>2661700000</v>
      </c>
      <c r="F380" s="191">
        <f>F381</f>
        <v>0</v>
      </c>
      <c r="G380" s="191">
        <f t="shared" ref="G380:H380" si="135">G381</f>
        <v>0</v>
      </c>
      <c r="H380" s="191">
        <f t="shared" si="135"/>
        <v>0</v>
      </c>
      <c r="I380" s="359">
        <f>H380/D380</f>
        <v>0</v>
      </c>
      <c r="J380" s="236">
        <f t="shared" si="123"/>
        <v>0</v>
      </c>
      <c r="K380" s="225" t="s">
        <v>218</v>
      </c>
      <c r="L380" s="175"/>
    </row>
    <row r="381" spans="1:12" s="176" customFormat="1" ht="21" customHeight="1" x14ac:dyDescent="0.25">
      <c r="A381" s="40"/>
      <c r="B381" s="190" t="s">
        <v>547</v>
      </c>
      <c r="C381" s="183" t="s">
        <v>217</v>
      </c>
      <c r="D381" s="192">
        <v>2661700000</v>
      </c>
      <c r="E381" s="192">
        <v>2661700000</v>
      </c>
      <c r="F381" s="192">
        <f>'Realisasi Juli'!G378</f>
        <v>0</v>
      </c>
      <c r="G381" s="192"/>
      <c r="H381" s="192">
        <f>F381+G381</f>
        <v>0</v>
      </c>
      <c r="I381" s="361">
        <f>H381/D381</f>
        <v>0</v>
      </c>
      <c r="J381" s="24">
        <f t="shared" si="123"/>
        <v>0</v>
      </c>
      <c r="K381" s="225"/>
      <c r="L381" s="175"/>
    </row>
    <row r="382" spans="1:12" s="176" customFormat="1" ht="21" customHeight="1" x14ac:dyDescent="0.25">
      <c r="A382" s="40"/>
      <c r="B382" s="190"/>
      <c r="C382" s="183"/>
      <c r="D382" s="192"/>
      <c r="E382" s="192"/>
      <c r="F382" s="192">
        <f>'Realisasi Juli'!G379</f>
        <v>0</v>
      </c>
      <c r="G382" s="192"/>
      <c r="H382" s="192"/>
      <c r="I382" s="359"/>
      <c r="J382" s="236"/>
      <c r="K382" s="225"/>
      <c r="L382" s="175"/>
    </row>
    <row r="383" spans="1:12" s="176" customFormat="1" ht="21" customHeight="1" x14ac:dyDescent="0.25">
      <c r="A383" s="40"/>
      <c r="B383" s="167" t="s">
        <v>39</v>
      </c>
      <c r="C383" s="185" t="s">
        <v>219</v>
      </c>
      <c r="D383" s="191">
        <f>D384</f>
        <v>747200000</v>
      </c>
      <c r="E383" s="191">
        <f>E384</f>
        <v>747200000</v>
      </c>
      <c r="F383" s="191">
        <f>F384</f>
        <v>0</v>
      </c>
      <c r="G383" s="191">
        <f t="shared" ref="G383:H383" si="136">G384</f>
        <v>0</v>
      </c>
      <c r="H383" s="191">
        <f t="shared" si="136"/>
        <v>0</v>
      </c>
      <c r="I383" s="359">
        <f>H383/D383</f>
        <v>0</v>
      </c>
      <c r="J383" s="236">
        <f t="shared" si="123"/>
        <v>0</v>
      </c>
      <c r="K383" s="225" t="s">
        <v>218</v>
      </c>
      <c r="L383" s="175"/>
    </row>
    <row r="384" spans="1:12" s="176" customFormat="1" ht="21" customHeight="1" x14ac:dyDescent="0.25">
      <c r="A384" s="40"/>
      <c r="B384" s="190" t="s">
        <v>548</v>
      </c>
      <c r="C384" s="183" t="s">
        <v>219</v>
      </c>
      <c r="D384" s="192">
        <v>747200000</v>
      </c>
      <c r="E384" s="192">
        <v>747200000</v>
      </c>
      <c r="F384" s="192">
        <f>'Realisasi Juli'!G381</f>
        <v>0</v>
      </c>
      <c r="G384" s="192"/>
      <c r="H384" s="192">
        <f>F384+G384</f>
        <v>0</v>
      </c>
      <c r="I384" s="361">
        <f>H384/D384</f>
        <v>0</v>
      </c>
      <c r="J384" s="24">
        <f t="shared" si="123"/>
        <v>0</v>
      </c>
      <c r="K384" s="225"/>
      <c r="L384" s="175"/>
    </row>
    <row r="385" spans="1:12" s="176" customFormat="1" ht="21" customHeight="1" x14ac:dyDescent="0.25">
      <c r="A385" s="40"/>
      <c r="B385" s="190"/>
      <c r="C385" s="183"/>
      <c r="D385" s="191"/>
      <c r="E385" s="191"/>
      <c r="F385" s="192">
        <f>'Realisasi Juli'!G382</f>
        <v>0</v>
      </c>
      <c r="G385" s="191"/>
      <c r="H385" s="192"/>
      <c r="I385" s="359"/>
      <c r="J385" s="236"/>
      <c r="K385" s="225"/>
      <c r="L385" s="175"/>
    </row>
    <row r="386" spans="1:12" s="176" customFormat="1" x14ac:dyDescent="0.25">
      <c r="A386" s="40"/>
      <c r="B386" s="167" t="s">
        <v>46</v>
      </c>
      <c r="C386" s="35" t="s">
        <v>220</v>
      </c>
      <c r="D386" s="191">
        <f>SUM(D387)</f>
        <v>55849895230</v>
      </c>
      <c r="E386" s="191">
        <f>SUM(E387)</f>
        <v>55849895230</v>
      </c>
      <c r="F386" s="191">
        <f>F387</f>
        <v>29548260000</v>
      </c>
      <c r="G386" s="191">
        <f t="shared" ref="G386:H386" si="137">G387</f>
        <v>0</v>
      </c>
      <c r="H386" s="191">
        <f t="shared" si="137"/>
        <v>29548260000</v>
      </c>
      <c r="I386" s="359">
        <f>H386/D386</f>
        <v>0.52906562990521122</v>
      </c>
      <c r="J386" s="236">
        <f t="shared" si="123"/>
        <v>0.52906562990521122</v>
      </c>
      <c r="K386" s="223"/>
      <c r="L386" s="175"/>
    </row>
    <row r="387" spans="1:12" s="176" customFormat="1" x14ac:dyDescent="0.25">
      <c r="A387" s="40"/>
      <c r="B387" s="190" t="s">
        <v>549</v>
      </c>
      <c r="C387" s="193" t="s">
        <v>220</v>
      </c>
      <c r="D387" s="192">
        <v>55849895230</v>
      </c>
      <c r="E387" s="192">
        <v>55849895230</v>
      </c>
      <c r="F387" s="192">
        <f>'Realisasi Juli'!G384</f>
        <v>29548260000</v>
      </c>
      <c r="G387" s="192"/>
      <c r="H387" s="192">
        <f>F387+G387</f>
        <v>29548260000</v>
      </c>
      <c r="I387" s="361">
        <f>H387/D387</f>
        <v>0.52906562990521122</v>
      </c>
      <c r="J387" s="24">
        <f t="shared" si="123"/>
        <v>0.52906562990521122</v>
      </c>
      <c r="K387" s="225" t="s">
        <v>218</v>
      </c>
      <c r="L387" s="175"/>
    </row>
    <row r="388" spans="1:12" s="176" customFormat="1" x14ac:dyDescent="0.25">
      <c r="A388" s="40"/>
      <c r="B388" s="190"/>
      <c r="C388" s="193"/>
      <c r="D388" s="192"/>
      <c r="E388" s="192"/>
      <c r="F388" s="192">
        <f>'Realisasi Juli'!G385</f>
        <v>0</v>
      </c>
      <c r="G388" s="192"/>
      <c r="H388" s="192"/>
      <c r="I388" s="361"/>
      <c r="J388" s="236"/>
      <c r="K388" s="225"/>
      <c r="L388" s="175"/>
    </row>
    <row r="389" spans="1:12" s="176" customFormat="1" x14ac:dyDescent="0.25">
      <c r="A389" s="40"/>
      <c r="B389" s="167" t="s">
        <v>8</v>
      </c>
      <c r="C389" s="35" t="s">
        <v>221</v>
      </c>
      <c r="D389" s="191">
        <f>SUM(D390)</f>
        <v>2296500000</v>
      </c>
      <c r="E389" s="191">
        <f>SUM(E390)</f>
        <v>2296500000</v>
      </c>
      <c r="F389" s="191">
        <f>F390</f>
        <v>1249050000</v>
      </c>
      <c r="G389" s="191">
        <f t="shared" ref="G389:H389" si="138">G390</f>
        <v>0</v>
      </c>
      <c r="H389" s="191">
        <f t="shared" si="138"/>
        <v>1249050000</v>
      </c>
      <c r="I389" s="359">
        <f>H389/D389</f>
        <v>0.54389288047028084</v>
      </c>
      <c r="J389" s="236">
        <f t="shared" si="123"/>
        <v>0.54389288047028084</v>
      </c>
      <c r="K389" s="223"/>
      <c r="L389" s="175"/>
    </row>
    <row r="390" spans="1:12" s="176" customFormat="1" x14ac:dyDescent="0.25">
      <c r="A390" s="40"/>
      <c r="B390" s="190" t="s">
        <v>550</v>
      </c>
      <c r="C390" s="193" t="s">
        <v>221</v>
      </c>
      <c r="D390" s="192">
        <v>2296500000</v>
      </c>
      <c r="E390" s="192">
        <v>2296500000</v>
      </c>
      <c r="F390" s="192">
        <f>'Realisasi Juli'!G387</f>
        <v>1249050000</v>
      </c>
      <c r="G390" s="192"/>
      <c r="H390" s="192">
        <f>F390+G390</f>
        <v>1249050000</v>
      </c>
      <c r="I390" s="361">
        <f>H390/D390</f>
        <v>0.54389288047028084</v>
      </c>
      <c r="J390" s="24">
        <f t="shared" si="123"/>
        <v>0.54389288047028084</v>
      </c>
      <c r="K390" s="225" t="s">
        <v>218</v>
      </c>
      <c r="L390" s="175"/>
    </row>
    <row r="391" spans="1:12" s="176" customFormat="1" x14ac:dyDescent="0.25">
      <c r="A391" s="40"/>
      <c r="B391" s="190"/>
      <c r="C391" s="193"/>
      <c r="D391" s="192"/>
      <c r="E391" s="192"/>
      <c r="F391" s="192">
        <f>'Realisasi Juli'!G388</f>
        <v>0</v>
      </c>
      <c r="G391" s="192"/>
      <c r="H391" s="192"/>
      <c r="I391" s="361"/>
      <c r="J391" s="236"/>
      <c r="K391" s="225"/>
      <c r="L391" s="175"/>
    </row>
    <row r="392" spans="1:12" s="176" customFormat="1" x14ac:dyDescent="0.25">
      <c r="A392" s="40"/>
      <c r="B392" s="167" t="s">
        <v>49</v>
      </c>
      <c r="C392" s="35" t="s">
        <v>222</v>
      </c>
      <c r="D392" s="191">
        <f>SUM(D393:D398)</f>
        <v>7190684820</v>
      </c>
      <c r="E392" s="191">
        <f>SUM(E393:E398)</f>
        <v>7190684820</v>
      </c>
      <c r="F392" s="191">
        <f>SUM(F393:F398)</f>
        <v>2361210007</v>
      </c>
      <c r="G392" s="191">
        <f t="shared" ref="G392:H392" si="139">SUM(G393:G398)</f>
        <v>0</v>
      </c>
      <c r="H392" s="191">
        <f t="shared" si="139"/>
        <v>2361210007</v>
      </c>
      <c r="I392" s="359">
        <f>H392/D392</f>
        <v>0.32837067207181525</v>
      </c>
      <c r="J392" s="236">
        <f t="shared" si="123"/>
        <v>0.32837067207181525</v>
      </c>
      <c r="K392" s="227"/>
      <c r="L392" s="175"/>
    </row>
    <row r="393" spans="1:12" s="176" customFormat="1" x14ac:dyDescent="0.25">
      <c r="A393" s="40"/>
      <c r="B393" s="190" t="s">
        <v>551</v>
      </c>
      <c r="C393" s="193" t="s">
        <v>223</v>
      </c>
      <c r="D393" s="192">
        <v>1403459600</v>
      </c>
      <c r="E393" s="192">
        <f>735901400+3080905120+81201200</f>
        <v>3898007720</v>
      </c>
      <c r="F393" s="192">
        <f>'Realisasi Juli'!G390</f>
        <v>1554209607</v>
      </c>
      <c r="G393" s="192"/>
      <c r="H393" s="192">
        <f>F393+G393</f>
        <v>1554209607</v>
      </c>
      <c r="I393" s="361">
        <f>H393/D393</f>
        <v>1.1074131432069723</v>
      </c>
      <c r="J393" s="24">
        <f t="shared" si="123"/>
        <v>0.39871896585161204</v>
      </c>
      <c r="K393" s="225" t="s">
        <v>218</v>
      </c>
      <c r="L393" s="175"/>
    </row>
    <row r="394" spans="1:12" s="176" customFormat="1" x14ac:dyDescent="0.25">
      <c r="A394" s="40"/>
      <c r="B394" s="190" t="s">
        <v>552</v>
      </c>
      <c r="C394" s="193" t="s">
        <v>227</v>
      </c>
      <c r="D394" s="192">
        <v>459094000</v>
      </c>
      <c r="E394" s="192">
        <v>459094000</v>
      </c>
      <c r="F394" s="192">
        <f>'Realisasi Juli'!G391</f>
        <v>0</v>
      </c>
      <c r="G394" s="192"/>
      <c r="H394" s="192">
        <f t="shared" ref="H394:H401" si="140">F394+G394</f>
        <v>0</v>
      </c>
      <c r="I394" s="361">
        <f>H394/D394</f>
        <v>0</v>
      </c>
      <c r="J394" s="24">
        <f t="shared" si="123"/>
        <v>0</v>
      </c>
      <c r="K394" s="225" t="s">
        <v>216</v>
      </c>
      <c r="L394" s="175"/>
    </row>
    <row r="395" spans="1:12" s="176" customFormat="1" x14ac:dyDescent="0.25">
      <c r="A395" s="40"/>
      <c r="B395" s="190" t="s">
        <v>553</v>
      </c>
      <c r="C395" s="193" t="s">
        <v>224</v>
      </c>
      <c r="D395" s="192">
        <v>3080905120</v>
      </c>
      <c r="E395" s="192">
        <f>406000000+180357000</f>
        <v>586357000</v>
      </c>
      <c r="F395" s="192">
        <f>'Realisasi Juli'!G392</f>
        <v>0</v>
      </c>
      <c r="G395" s="192"/>
      <c r="H395" s="192">
        <f t="shared" si="140"/>
        <v>0</v>
      </c>
      <c r="I395" s="361">
        <f>H395/D395</f>
        <v>0</v>
      </c>
      <c r="J395" s="24">
        <f t="shared" si="123"/>
        <v>0</v>
      </c>
      <c r="K395" s="225" t="s">
        <v>218</v>
      </c>
      <c r="L395" s="175"/>
    </row>
    <row r="396" spans="1:12" s="176" customFormat="1" ht="18" hidden="1" customHeight="1" x14ac:dyDescent="0.25">
      <c r="A396" s="40"/>
      <c r="B396" s="52"/>
      <c r="C396" s="193" t="s">
        <v>225</v>
      </c>
      <c r="D396" s="192"/>
      <c r="E396" s="192"/>
      <c r="F396" s="192">
        <f>'Realisasi Juli'!G393</f>
        <v>0</v>
      </c>
      <c r="G396" s="192"/>
      <c r="H396" s="192">
        <f t="shared" si="140"/>
        <v>0</v>
      </c>
      <c r="I396" s="361">
        <v>0</v>
      </c>
      <c r="J396" s="24" t="e">
        <f t="shared" si="123"/>
        <v>#DIV/0!</v>
      </c>
      <c r="K396" s="223"/>
      <c r="L396" s="175"/>
    </row>
    <row r="397" spans="1:12" s="176" customFormat="1" x14ac:dyDescent="0.25">
      <c r="A397" s="40"/>
      <c r="B397" s="190" t="s">
        <v>554</v>
      </c>
      <c r="C397" s="193" t="s">
        <v>226</v>
      </c>
      <c r="D397" s="192">
        <v>113748200</v>
      </c>
      <c r="E397" s="192">
        <v>113748200</v>
      </c>
      <c r="F397" s="192">
        <f>'Realisasi Juli'!G394</f>
        <v>0</v>
      </c>
      <c r="G397" s="192"/>
      <c r="H397" s="192">
        <f t="shared" si="140"/>
        <v>0</v>
      </c>
      <c r="I397" s="361">
        <f>H397/D397</f>
        <v>0</v>
      </c>
      <c r="J397" s="24">
        <f t="shared" si="123"/>
        <v>0</v>
      </c>
      <c r="K397" s="225" t="s">
        <v>216</v>
      </c>
      <c r="L397" s="175"/>
    </row>
    <row r="398" spans="1:12" s="176" customFormat="1" x14ac:dyDescent="0.25">
      <c r="A398" s="40"/>
      <c r="B398" s="190" t="s">
        <v>386</v>
      </c>
      <c r="C398" s="193" t="s">
        <v>228</v>
      </c>
      <c r="D398" s="192">
        <v>2133477900</v>
      </c>
      <c r="E398" s="192">
        <v>2133477900</v>
      </c>
      <c r="F398" s="192">
        <f>'Realisasi Juli'!G395</f>
        <v>807000400</v>
      </c>
      <c r="G398" s="192"/>
      <c r="H398" s="192">
        <f t="shared" si="140"/>
        <v>807000400</v>
      </c>
      <c r="I398" s="361">
        <f>H398/D398</f>
        <v>0.37825580475898063</v>
      </c>
      <c r="J398" s="24">
        <f t="shared" si="123"/>
        <v>0.37825580475898063</v>
      </c>
      <c r="K398" s="225" t="s">
        <v>216</v>
      </c>
      <c r="L398" s="175"/>
    </row>
    <row r="399" spans="1:12" s="176" customFormat="1" x14ac:dyDescent="0.25">
      <c r="A399" s="40"/>
      <c r="B399" s="190"/>
      <c r="C399" s="193"/>
      <c r="D399" s="192"/>
      <c r="E399" s="192"/>
      <c r="F399" s="192">
        <f>'Realisasi Juli'!G396</f>
        <v>0</v>
      </c>
      <c r="G399" s="192"/>
      <c r="H399" s="192">
        <f t="shared" si="140"/>
        <v>0</v>
      </c>
      <c r="I399" s="361"/>
      <c r="J399" s="236"/>
      <c r="K399" s="225"/>
      <c r="L399" s="175"/>
    </row>
    <row r="400" spans="1:12" s="176" customFormat="1" x14ac:dyDescent="0.25">
      <c r="A400" s="40"/>
      <c r="B400" s="167" t="s">
        <v>53</v>
      </c>
      <c r="C400" s="35" t="s">
        <v>229</v>
      </c>
      <c r="D400" s="191">
        <f>SUM(D401)</f>
        <v>0</v>
      </c>
      <c r="E400" s="191"/>
      <c r="F400" s="192">
        <f>'Realisasi Juli'!G397</f>
        <v>0</v>
      </c>
      <c r="G400" s="191">
        <f>SUM(G401)</f>
        <v>0</v>
      </c>
      <c r="H400" s="192">
        <f t="shared" si="140"/>
        <v>0</v>
      </c>
      <c r="I400" s="369" t="e">
        <f>H400/D400</f>
        <v>#DIV/0!</v>
      </c>
      <c r="J400" s="236"/>
      <c r="K400" s="223"/>
      <c r="L400" s="175"/>
    </row>
    <row r="401" spans="1:12" s="176" customFormat="1" x14ac:dyDescent="0.25">
      <c r="A401" s="40"/>
      <c r="B401" s="190" t="s">
        <v>387</v>
      </c>
      <c r="C401" s="193" t="s">
        <v>229</v>
      </c>
      <c r="D401" s="192">
        <v>0</v>
      </c>
      <c r="E401" s="192"/>
      <c r="F401" s="192">
        <f>'Realisasi Juli'!G398</f>
        <v>0</v>
      </c>
      <c r="G401" s="192"/>
      <c r="H401" s="192">
        <f t="shared" si="140"/>
        <v>0</v>
      </c>
      <c r="I401" s="364" t="e">
        <f>H401/D401</f>
        <v>#DIV/0!</v>
      </c>
      <c r="J401" s="236"/>
      <c r="K401" s="225" t="s">
        <v>216</v>
      </c>
      <c r="L401" s="175"/>
    </row>
    <row r="402" spans="1:12" s="176" customFormat="1" x14ac:dyDescent="0.25">
      <c r="A402" s="40"/>
      <c r="B402" s="190"/>
      <c r="C402" s="193"/>
      <c r="D402" s="192"/>
      <c r="E402" s="192"/>
      <c r="F402" s="192">
        <f>'Realisasi Juli'!G399</f>
        <v>0</v>
      </c>
      <c r="G402" s="192"/>
      <c r="H402" s="192"/>
      <c r="I402" s="361"/>
      <c r="J402" s="236"/>
      <c r="K402" s="225"/>
      <c r="L402" s="175"/>
    </row>
    <row r="403" spans="1:12" s="176" customFormat="1" x14ac:dyDescent="0.25">
      <c r="A403" s="40"/>
      <c r="B403" s="167" t="s">
        <v>62</v>
      </c>
      <c r="C403" s="35" t="s">
        <v>230</v>
      </c>
      <c r="D403" s="191">
        <f>SUM(D404)</f>
        <v>0</v>
      </c>
      <c r="E403" s="191"/>
      <c r="F403" s="192">
        <f>'Realisasi Juli'!G400</f>
        <v>0</v>
      </c>
      <c r="G403" s="191">
        <f t="shared" ref="G403:H403" si="141">SUM(G404)</f>
        <v>0</v>
      </c>
      <c r="H403" s="191">
        <f t="shared" si="141"/>
        <v>0</v>
      </c>
      <c r="I403" s="359" t="e">
        <f>H403/D403</f>
        <v>#DIV/0!</v>
      </c>
      <c r="J403" s="236" t="e">
        <f t="shared" ref="J403:J461" si="142">H403/E403</f>
        <v>#DIV/0!</v>
      </c>
      <c r="K403" s="223"/>
      <c r="L403" s="175"/>
    </row>
    <row r="404" spans="1:12" s="176" customFormat="1" x14ac:dyDescent="0.25">
      <c r="A404" s="40"/>
      <c r="B404" s="190" t="s">
        <v>555</v>
      </c>
      <c r="C404" s="193" t="s">
        <v>230</v>
      </c>
      <c r="D404" s="192"/>
      <c r="E404" s="192"/>
      <c r="F404" s="192">
        <f>'Realisasi Juli'!G401</f>
        <v>0</v>
      </c>
      <c r="G404" s="192"/>
      <c r="H404" s="192">
        <f>F404+G404</f>
        <v>0</v>
      </c>
      <c r="I404" s="361" t="e">
        <f>H404/D404</f>
        <v>#DIV/0!</v>
      </c>
      <c r="J404" s="236" t="e">
        <f t="shared" si="142"/>
        <v>#DIV/0!</v>
      </c>
      <c r="K404" s="225" t="s">
        <v>216</v>
      </c>
      <c r="L404" s="175"/>
    </row>
    <row r="405" spans="1:12" s="176" customFormat="1" x14ac:dyDescent="0.25">
      <c r="A405" s="40"/>
      <c r="B405" s="190"/>
      <c r="C405" s="193"/>
      <c r="D405" s="192"/>
      <c r="E405" s="192"/>
      <c r="F405" s="192">
        <f>'Realisasi Juli'!G402</f>
        <v>0</v>
      </c>
      <c r="G405" s="192"/>
      <c r="H405" s="192"/>
      <c r="I405" s="361"/>
      <c r="J405" s="236"/>
      <c r="K405" s="225"/>
      <c r="L405" s="175"/>
    </row>
    <row r="406" spans="1:12" s="176" customFormat="1" x14ac:dyDescent="0.25">
      <c r="A406" s="40"/>
      <c r="B406" s="167" t="s">
        <v>66</v>
      </c>
      <c r="C406" s="35" t="s">
        <v>231</v>
      </c>
      <c r="D406" s="191">
        <f>SUM(D407)</f>
        <v>0</v>
      </c>
      <c r="E406" s="191"/>
      <c r="F406" s="192">
        <f>'Realisasi Juli'!G403</f>
        <v>0</v>
      </c>
      <c r="G406" s="191">
        <f t="shared" ref="G406:H406" si="143">SUM(G407)</f>
        <v>0</v>
      </c>
      <c r="H406" s="191">
        <f t="shared" si="143"/>
        <v>0</v>
      </c>
      <c r="I406" s="359" t="e">
        <f>H406/D406</f>
        <v>#DIV/0!</v>
      </c>
      <c r="J406" s="236" t="e">
        <f t="shared" si="142"/>
        <v>#DIV/0!</v>
      </c>
      <c r="K406" s="223"/>
      <c r="L406" s="175"/>
    </row>
    <row r="407" spans="1:12" s="176" customFormat="1" x14ac:dyDescent="0.25">
      <c r="A407" s="40"/>
      <c r="B407" s="190" t="s">
        <v>556</v>
      </c>
      <c r="C407" s="193" t="s">
        <v>231</v>
      </c>
      <c r="D407" s="192"/>
      <c r="E407" s="192"/>
      <c r="F407" s="192">
        <f>'Realisasi Juli'!G404</f>
        <v>0</v>
      </c>
      <c r="G407" s="192"/>
      <c r="H407" s="192">
        <f>F407+G407</f>
        <v>0</v>
      </c>
      <c r="I407" s="361" t="e">
        <f>H407/D407</f>
        <v>#DIV/0!</v>
      </c>
      <c r="J407" s="236" t="e">
        <f t="shared" si="142"/>
        <v>#DIV/0!</v>
      </c>
      <c r="K407" s="225" t="s">
        <v>216</v>
      </c>
      <c r="L407" s="175"/>
    </row>
    <row r="408" spans="1:12" s="176" customFormat="1" x14ac:dyDescent="0.25">
      <c r="A408" s="40"/>
      <c r="B408" s="190"/>
      <c r="C408" s="193"/>
      <c r="D408" s="192"/>
      <c r="E408" s="192"/>
      <c r="F408" s="192">
        <f>'Realisasi Juli'!G405</f>
        <v>0</v>
      </c>
      <c r="G408" s="192"/>
      <c r="H408" s="192"/>
      <c r="I408" s="361"/>
      <c r="J408" s="236"/>
      <c r="K408" s="225"/>
      <c r="L408" s="175"/>
    </row>
    <row r="409" spans="1:12" s="176" customFormat="1" x14ac:dyDescent="0.25">
      <c r="A409" s="40"/>
      <c r="B409" s="167" t="s">
        <v>73</v>
      </c>
      <c r="C409" s="185" t="s">
        <v>232</v>
      </c>
      <c r="D409" s="191">
        <f>D410</f>
        <v>289414900</v>
      </c>
      <c r="E409" s="191">
        <f>E410</f>
        <v>289414900</v>
      </c>
      <c r="F409" s="191">
        <f>F410</f>
        <v>0</v>
      </c>
      <c r="G409" s="191">
        <f t="shared" ref="G409:H409" si="144">G410</f>
        <v>0</v>
      </c>
      <c r="H409" s="191">
        <f t="shared" si="144"/>
        <v>0</v>
      </c>
      <c r="I409" s="359">
        <f>H409/D409</f>
        <v>0</v>
      </c>
      <c r="J409" s="236">
        <f t="shared" si="142"/>
        <v>0</v>
      </c>
      <c r="K409" s="225"/>
      <c r="L409" s="175"/>
    </row>
    <row r="410" spans="1:12" s="176" customFormat="1" x14ac:dyDescent="0.25">
      <c r="A410" s="40"/>
      <c r="B410" s="190" t="s">
        <v>557</v>
      </c>
      <c r="C410" s="183" t="s">
        <v>232</v>
      </c>
      <c r="D410" s="192">
        <v>289414900</v>
      </c>
      <c r="E410" s="192">
        <v>289414900</v>
      </c>
      <c r="F410" s="192">
        <f>'Realisasi Juli'!G407</f>
        <v>0</v>
      </c>
      <c r="G410" s="192"/>
      <c r="H410" s="192">
        <f>F410+G410</f>
        <v>0</v>
      </c>
      <c r="I410" s="361">
        <f>H410/D410</f>
        <v>0</v>
      </c>
      <c r="J410" s="24">
        <f t="shared" si="142"/>
        <v>0</v>
      </c>
      <c r="K410" s="225" t="s">
        <v>216</v>
      </c>
      <c r="L410" s="175"/>
    </row>
    <row r="411" spans="1:12" s="176" customFormat="1" x14ac:dyDescent="0.25">
      <c r="A411" s="40"/>
      <c r="B411" s="190"/>
      <c r="C411" s="183"/>
      <c r="D411" s="192"/>
      <c r="E411" s="192"/>
      <c r="F411" s="192">
        <f>'Realisasi Juli'!G408</f>
        <v>0</v>
      </c>
      <c r="G411" s="192"/>
      <c r="H411" s="192"/>
      <c r="I411" s="361"/>
      <c r="J411" s="236"/>
      <c r="K411" s="225"/>
      <c r="L411" s="175"/>
    </row>
    <row r="412" spans="1:12" s="176" customFormat="1" x14ac:dyDescent="0.25">
      <c r="A412" s="40"/>
      <c r="B412" s="167" t="s">
        <v>74</v>
      </c>
      <c r="C412" s="185" t="s">
        <v>233</v>
      </c>
      <c r="D412" s="191">
        <f>D413</f>
        <v>254403060</v>
      </c>
      <c r="E412" s="191">
        <f>E413</f>
        <v>254403060</v>
      </c>
      <c r="F412" s="191">
        <f>F413</f>
        <v>52966060</v>
      </c>
      <c r="G412" s="191">
        <f t="shared" ref="G412:H412" si="145">G413</f>
        <v>0</v>
      </c>
      <c r="H412" s="191">
        <f t="shared" si="145"/>
        <v>52966060</v>
      </c>
      <c r="I412" s="359">
        <f>H412/D412</f>
        <v>0.20819741712226261</v>
      </c>
      <c r="J412" s="236">
        <f t="shared" si="142"/>
        <v>0.20819741712226261</v>
      </c>
      <c r="K412" s="225"/>
      <c r="L412" s="175"/>
    </row>
    <row r="413" spans="1:12" s="176" customFormat="1" x14ac:dyDescent="0.25">
      <c r="A413" s="40"/>
      <c r="B413" s="190" t="s">
        <v>558</v>
      </c>
      <c r="C413" s="183" t="s">
        <v>233</v>
      </c>
      <c r="D413" s="192">
        <v>254403060</v>
      </c>
      <c r="E413" s="192">
        <v>254403060</v>
      </c>
      <c r="F413" s="192">
        <f>'Realisasi Juli'!G410</f>
        <v>52966060</v>
      </c>
      <c r="G413" s="192"/>
      <c r="H413" s="192">
        <f>F413+G413</f>
        <v>52966060</v>
      </c>
      <c r="I413" s="361">
        <f>H413/D413</f>
        <v>0.20819741712226261</v>
      </c>
      <c r="J413" s="24">
        <f t="shared" si="142"/>
        <v>0.20819741712226261</v>
      </c>
      <c r="K413" s="225" t="s">
        <v>216</v>
      </c>
      <c r="L413" s="175"/>
    </row>
    <row r="414" spans="1:12" s="176" customFormat="1" x14ac:dyDescent="0.25">
      <c r="A414" s="40"/>
      <c r="B414" s="22"/>
      <c r="C414" s="183"/>
      <c r="D414" s="192"/>
      <c r="E414" s="192"/>
      <c r="F414" s="192">
        <f>'Realisasi Juli'!G411</f>
        <v>0</v>
      </c>
      <c r="G414" s="192"/>
      <c r="H414" s="192"/>
      <c r="I414" s="361"/>
      <c r="J414" s="236"/>
      <c r="K414" s="225"/>
      <c r="L414" s="175"/>
    </row>
    <row r="415" spans="1:12" s="176" customFormat="1" x14ac:dyDescent="0.25">
      <c r="A415" s="40"/>
      <c r="B415" s="167" t="s">
        <v>81</v>
      </c>
      <c r="C415" s="185" t="s">
        <v>234</v>
      </c>
      <c r="D415" s="191">
        <f>D416</f>
        <v>752600000</v>
      </c>
      <c r="E415" s="191">
        <f>E416</f>
        <v>752600000</v>
      </c>
      <c r="F415" s="191">
        <f>F416</f>
        <v>376300000</v>
      </c>
      <c r="G415" s="191">
        <f t="shared" ref="G415:H415" si="146">G416</f>
        <v>0</v>
      </c>
      <c r="H415" s="191">
        <f t="shared" si="146"/>
        <v>376300000</v>
      </c>
      <c r="I415" s="359">
        <f>H415/D415</f>
        <v>0.5</v>
      </c>
      <c r="J415" s="236">
        <f t="shared" si="142"/>
        <v>0.5</v>
      </c>
      <c r="K415" s="225"/>
      <c r="L415" s="175"/>
    </row>
    <row r="416" spans="1:12" s="176" customFormat="1" x14ac:dyDescent="0.25">
      <c r="A416" s="40"/>
      <c r="B416" s="190" t="s">
        <v>559</v>
      </c>
      <c r="C416" s="183" t="s">
        <v>234</v>
      </c>
      <c r="D416" s="192">
        <v>752600000</v>
      </c>
      <c r="E416" s="192">
        <v>752600000</v>
      </c>
      <c r="F416" s="192">
        <f>'Realisasi Juli'!G413</f>
        <v>376300000</v>
      </c>
      <c r="G416" s="192"/>
      <c r="H416" s="192">
        <f>F416+G416</f>
        <v>376300000</v>
      </c>
      <c r="I416" s="361">
        <f>H416/D416</f>
        <v>0.5</v>
      </c>
      <c r="J416" s="24">
        <f t="shared" si="142"/>
        <v>0.5</v>
      </c>
      <c r="K416" s="225" t="s">
        <v>216</v>
      </c>
      <c r="L416" s="175"/>
    </row>
    <row r="417" spans="1:16" s="176" customFormat="1" x14ac:dyDescent="0.25">
      <c r="A417" s="40"/>
      <c r="B417" s="22"/>
      <c r="C417" s="183"/>
      <c r="D417" s="192"/>
      <c r="E417" s="192"/>
      <c r="F417" s="192"/>
      <c r="G417" s="192"/>
      <c r="H417" s="191"/>
      <c r="I417" s="359"/>
      <c r="J417" s="236"/>
      <c r="K417" s="223"/>
      <c r="L417" s="175"/>
    </row>
    <row r="418" spans="1:16" s="176" customFormat="1" ht="36.75" hidden="1" customHeight="1" x14ac:dyDescent="0.25">
      <c r="A418" s="132" t="s">
        <v>91</v>
      </c>
      <c r="B418" s="133" t="s">
        <v>396</v>
      </c>
      <c r="C418" s="130" t="s">
        <v>236</v>
      </c>
      <c r="D418" s="131">
        <f>D419</f>
        <v>0</v>
      </c>
      <c r="E418" s="131"/>
      <c r="F418" s="131"/>
      <c r="G418" s="131">
        <f t="shared" ref="G418:H419" si="147">G419</f>
        <v>0</v>
      </c>
      <c r="H418" s="131">
        <f t="shared" si="147"/>
        <v>0</v>
      </c>
      <c r="I418" s="366" t="e">
        <f>H418/D418</f>
        <v>#DIV/0!</v>
      </c>
      <c r="J418" s="236" t="e">
        <f t="shared" si="142"/>
        <v>#DIV/0!</v>
      </c>
      <c r="K418" s="225" t="s">
        <v>237</v>
      </c>
      <c r="L418" s="175"/>
    </row>
    <row r="419" spans="1:16" s="176" customFormat="1" ht="36.75" hidden="1" customHeight="1" x14ac:dyDescent="0.25">
      <c r="A419" s="122"/>
      <c r="B419" s="189" t="s">
        <v>397</v>
      </c>
      <c r="C419" s="35" t="s">
        <v>236</v>
      </c>
      <c r="D419" s="121">
        <f>D420</f>
        <v>0</v>
      </c>
      <c r="E419" s="121"/>
      <c r="F419" s="121"/>
      <c r="G419" s="121">
        <f t="shared" si="147"/>
        <v>0</v>
      </c>
      <c r="H419" s="121">
        <f t="shared" si="147"/>
        <v>0</v>
      </c>
      <c r="I419" s="359" t="e">
        <f>H419/D419</f>
        <v>#DIV/0!</v>
      </c>
      <c r="J419" s="236" t="e">
        <f t="shared" si="142"/>
        <v>#DIV/0!</v>
      </c>
      <c r="K419" s="225"/>
      <c r="L419" s="175"/>
    </row>
    <row r="420" spans="1:16" s="176" customFormat="1" hidden="1" x14ac:dyDescent="0.25">
      <c r="A420" s="40"/>
      <c r="B420" s="189" t="s">
        <v>560</v>
      </c>
      <c r="C420" s="35" t="s">
        <v>236</v>
      </c>
      <c r="D420" s="121"/>
      <c r="E420" s="121"/>
      <c r="F420" s="121"/>
      <c r="G420" s="121"/>
      <c r="H420" s="191">
        <f>F420+G420</f>
        <v>0</v>
      </c>
      <c r="I420" s="359" t="e">
        <f>H420/D420</f>
        <v>#DIV/0!</v>
      </c>
      <c r="J420" s="236" t="e">
        <f t="shared" si="142"/>
        <v>#DIV/0!</v>
      </c>
      <c r="K420" s="223"/>
      <c r="L420" s="175"/>
      <c r="P420" s="176" t="s">
        <v>580</v>
      </c>
    </row>
    <row r="421" spans="1:16" s="176" customFormat="1" ht="35.65" hidden="1" customHeight="1" x14ac:dyDescent="0.25">
      <c r="A421" s="40"/>
      <c r="B421" s="178"/>
      <c r="C421" s="54" t="s">
        <v>238</v>
      </c>
      <c r="D421" s="55"/>
      <c r="E421" s="55"/>
      <c r="F421" s="55"/>
      <c r="G421" s="55"/>
      <c r="H421" s="192">
        <f>G421-D421</f>
        <v>0</v>
      </c>
      <c r="I421" s="361"/>
      <c r="J421" s="236" t="e">
        <f t="shared" si="142"/>
        <v>#DIV/0!</v>
      </c>
      <c r="K421" s="225"/>
      <c r="L421" s="175"/>
    </row>
    <row r="422" spans="1:16" s="176" customFormat="1" ht="37.15" hidden="1" customHeight="1" x14ac:dyDescent="0.25">
      <c r="A422" s="40"/>
      <c r="B422" s="178"/>
      <c r="C422" s="54" t="s">
        <v>239</v>
      </c>
      <c r="D422" s="55"/>
      <c r="E422" s="55"/>
      <c r="F422" s="55"/>
      <c r="G422" s="55"/>
      <c r="H422" s="192">
        <f>G422-D422</f>
        <v>0</v>
      </c>
      <c r="I422" s="361"/>
      <c r="J422" s="236" t="e">
        <f t="shared" si="142"/>
        <v>#DIV/0!</v>
      </c>
      <c r="K422" s="225"/>
      <c r="L422" s="175"/>
    </row>
    <row r="423" spans="1:16" s="176" customFormat="1" ht="39" hidden="1" customHeight="1" x14ac:dyDescent="0.25">
      <c r="A423" s="40"/>
      <c r="B423" s="178"/>
      <c r="C423" s="54" t="s">
        <v>240</v>
      </c>
      <c r="D423" s="55"/>
      <c r="E423" s="55"/>
      <c r="F423" s="55"/>
      <c r="G423" s="55"/>
      <c r="H423" s="192">
        <f>G423-D423</f>
        <v>0</v>
      </c>
      <c r="I423" s="361"/>
      <c r="J423" s="236" t="e">
        <f t="shared" si="142"/>
        <v>#DIV/0!</v>
      </c>
      <c r="K423" s="225"/>
      <c r="L423" s="175"/>
    </row>
    <row r="424" spans="1:16" s="176" customFormat="1" hidden="1" x14ac:dyDescent="0.25">
      <c r="A424" s="56"/>
      <c r="B424" s="57"/>
      <c r="C424" s="58"/>
      <c r="D424" s="192"/>
      <c r="E424" s="192"/>
      <c r="F424" s="192"/>
      <c r="G424" s="192"/>
      <c r="H424" s="191"/>
      <c r="I424" s="359"/>
      <c r="J424" s="236" t="e">
        <f t="shared" si="142"/>
        <v>#DIV/0!</v>
      </c>
      <c r="K424" s="228"/>
      <c r="L424" s="175"/>
    </row>
    <row r="425" spans="1:16" s="176" customFormat="1" ht="25.5" customHeight="1" x14ac:dyDescent="0.25">
      <c r="A425" s="134" t="s">
        <v>417</v>
      </c>
      <c r="B425" s="135" t="s">
        <v>398</v>
      </c>
      <c r="C425" s="136" t="s">
        <v>399</v>
      </c>
      <c r="D425" s="137">
        <f>SUM(D426+D439)</f>
        <v>115695329081</v>
      </c>
      <c r="E425" s="137">
        <f>SUM(E426+E439)</f>
        <v>145504655888</v>
      </c>
      <c r="F425" s="137">
        <f t="shared" ref="F425:H425" si="148">SUM(F426+F439)</f>
        <v>64427884667</v>
      </c>
      <c r="G425" s="137">
        <f t="shared" si="148"/>
        <v>9308983764</v>
      </c>
      <c r="H425" s="137">
        <f t="shared" si="148"/>
        <v>73736868431</v>
      </c>
      <c r="I425" s="365">
        <f t="shared" ref="I425:I436" si="149">H425/D425</f>
        <v>0.63733660655717339</v>
      </c>
      <c r="J425" s="238">
        <f t="shared" si="142"/>
        <v>0.50676638476611935</v>
      </c>
      <c r="K425" s="229"/>
      <c r="L425" s="175"/>
    </row>
    <row r="426" spans="1:16" s="176" customFormat="1" ht="25.5" customHeight="1" x14ac:dyDescent="0.25">
      <c r="A426" s="169" t="s">
        <v>426</v>
      </c>
      <c r="B426" s="189" t="s">
        <v>400</v>
      </c>
      <c r="C426" s="185" t="s">
        <v>401</v>
      </c>
      <c r="D426" s="191">
        <f>D427</f>
        <v>105229329081</v>
      </c>
      <c r="E426" s="191">
        <f>E427</f>
        <v>135038655888</v>
      </c>
      <c r="F426" s="191">
        <f t="shared" ref="F426:H426" si="150">F427</f>
        <v>61343884667</v>
      </c>
      <c r="G426" s="191">
        <f t="shared" si="150"/>
        <v>6776983764</v>
      </c>
      <c r="H426" s="191">
        <f t="shared" si="150"/>
        <v>68120868431</v>
      </c>
      <c r="I426" s="359">
        <f t="shared" si="149"/>
        <v>0.64735629340147305</v>
      </c>
      <c r="J426" s="236">
        <f t="shared" si="142"/>
        <v>0.50445457993523657</v>
      </c>
      <c r="K426" s="230"/>
      <c r="L426" s="175"/>
    </row>
    <row r="427" spans="1:16" s="176" customFormat="1" ht="25.5" customHeight="1" x14ac:dyDescent="0.25">
      <c r="A427" s="169"/>
      <c r="B427" s="189" t="s">
        <v>402</v>
      </c>
      <c r="C427" s="185" t="s">
        <v>403</v>
      </c>
      <c r="D427" s="191">
        <f>SUM(D428:D437)</f>
        <v>105229329081</v>
      </c>
      <c r="E427" s="191">
        <f>SUM(E428:E437)</f>
        <v>135038655888</v>
      </c>
      <c r="F427" s="191">
        <f t="shared" ref="F427:H427" si="151">SUM(F428:F437)</f>
        <v>61343884667</v>
      </c>
      <c r="G427" s="191">
        <f t="shared" si="151"/>
        <v>6776983764</v>
      </c>
      <c r="H427" s="191">
        <f t="shared" si="151"/>
        <v>68120868431</v>
      </c>
      <c r="I427" s="359">
        <f t="shared" si="149"/>
        <v>0.64735629340147305</v>
      </c>
      <c r="J427" s="236">
        <f t="shared" si="142"/>
        <v>0.50445457993523657</v>
      </c>
      <c r="K427" s="230"/>
      <c r="L427" s="175"/>
    </row>
    <row r="428" spans="1:16" s="176" customFormat="1" ht="25.5" customHeight="1" x14ac:dyDescent="0.25">
      <c r="A428" s="184" t="s">
        <v>89</v>
      </c>
      <c r="B428" s="190" t="s">
        <v>561</v>
      </c>
      <c r="C428" s="183" t="s">
        <v>244</v>
      </c>
      <c r="D428" s="178">
        <v>26706000000</v>
      </c>
      <c r="E428" s="178">
        <v>32206000000</v>
      </c>
      <c r="F428" s="178">
        <f>'Realisasi Juli'!G418</f>
        <v>13133389309</v>
      </c>
      <c r="G428" s="178"/>
      <c r="H428" s="192">
        <f>F428+G428</f>
        <v>13133389309</v>
      </c>
      <c r="I428" s="361">
        <f t="shared" si="149"/>
        <v>0.49177672841309067</v>
      </c>
      <c r="J428" s="24">
        <f t="shared" si="142"/>
        <v>0.40779324687946344</v>
      </c>
      <c r="K428" s="231"/>
      <c r="L428" s="175"/>
    </row>
    <row r="429" spans="1:16" s="176" customFormat="1" ht="25.5" customHeight="1" x14ac:dyDescent="0.25">
      <c r="A429" s="188"/>
      <c r="B429" s="178"/>
      <c r="C429" s="193" t="s">
        <v>664</v>
      </c>
      <c r="D429" s="55"/>
      <c r="E429" s="55">
        <v>2690492585</v>
      </c>
      <c r="F429" s="178">
        <f>'Realisasi Juli'!G419</f>
        <v>0</v>
      </c>
      <c r="G429" s="55"/>
      <c r="H429" s="192">
        <f t="shared" ref="H429:H437" si="152">F429+G429</f>
        <v>0</v>
      </c>
      <c r="I429" s="361"/>
      <c r="J429" s="24"/>
      <c r="K429" s="231"/>
      <c r="L429" s="175"/>
    </row>
    <row r="430" spans="1:16" s="176" customFormat="1" ht="25.5" customHeight="1" x14ac:dyDescent="0.25">
      <c r="A430" s="184" t="s">
        <v>91</v>
      </c>
      <c r="B430" s="190" t="s">
        <v>562</v>
      </c>
      <c r="C430" s="183" t="s">
        <v>245</v>
      </c>
      <c r="D430" s="178">
        <v>16184831606</v>
      </c>
      <c r="E430" s="178">
        <v>17327982563</v>
      </c>
      <c r="F430" s="178">
        <f>'Realisasi Juli'!G420</f>
        <v>11127715256</v>
      </c>
      <c r="G430" s="178"/>
      <c r="H430" s="192">
        <f t="shared" si="152"/>
        <v>11127715256</v>
      </c>
      <c r="I430" s="361">
        <f t="shared" si="149"/>
        <v>0.68753976111032022</v>
      </c>
      <c r="J430" s="24">
        <f t="shared" si="142"/>
        <v>0.64218181288805809</v>
      </c>
      <c r="K430" s="231"/>
      <c r="L430" s="175"/>
    </row>
    <row r="431" spans="1:16" s="176" customFormat="1" ht="25.5" customHeight="1" x14ac:dyDescent="0.25">
      <c r="A431" s="188"/>
      <c r="B431" s="178"/>
      <c r="C431" s="193" t="s">
        <v>665</v>
      </c>
      <c r="D431" s="55"/>
      <c r="E431" s="55">
        <v>2504702813</v>
      </c>
      <c r="F431" s="178">
        <f>'Realisasi Juli'!G421</f>
        <v>0</v>
      </c>
      <c r="G431" s="55"/>
      <c r="H431" s="192">
        <f t="shared" si="152"/>
        <v>0</v>
      </c>
      <c r="I431" s="361"/>
      <c r="J431" s="24"/>
      <c r="K431" s="232"/>
      <c r="L431" s="175"/>
    </row>
    <row r="432" spans="1:16" s="176" customFormat="1" ht="25.5" customHeight="1" x14ac:dyDescent="0.25">
      <c r="A432" s="184" t="s">
        <v>72</v>
      </c>
      <c r="B432" s="190" t="s">
        <v>563</v>
      </c>
      <c r="C432" s="183" t="s">
        <v>246</v>
      </c>
      <c r="D432" s="178">
        <v>45000000000</v>
      </c>
      <c r="E432" s="178">
        <v>52123540857</v>
      </c>
      <c r="F432" s="178">
        <f>'Realisasi Juli'!G422</f>
        <v>27524539677</v>
      </c>
      <c r="G432" s="178"/>
      <c r="H432" s="192">
        <f t="shared" si="152"/>
        <v>27524539677</v>
      </c>
      <c r="I432" s="361">
        <f t="shared" si="149"/>
        <v>0.61165643726666663</v>
      </c>
      <c r="J432" s="24">
        <f t="shared" si="142"/>
        <v>0.52806350498161825</v>
      </c>
      <c r="K432" s="232"/>
      <c r="L432" s="175"/>
    </row>
    <row r="433" spans="1:12" s="176" customFormat="1" ht="25.5" customHeight="1" x14ac:dyDescent="0.25">
      <c r="A433" s="188"/>
      <c r="B433" s="178"/>
      <c r="C433" s="193" t="s">
        <v>666</v>
      </c>
      <c r="D433" s="55"/>
      <c r="E433" s="55">
        <v>4867170924</v>
      </c>
      <c r="F433" s="178">
        <f>'Realisasi Juli'!G423</f>
        <v>0</v>
      </c>
      <c r="G433" s="55"/>
      <c r="H433" s="192">
        <f t="shared" si="152"/>
        <v>0</v>
      </c>
      <c r="I433" s="361"/>
      <c r="J433" s="24"/>
      <c r="K433" s="231"/>
      <c r="L433" s="175"/>
    </row>
    <row r="434" spans="1:12" s="176" customFormat="1" ht="25.5" customHeight="1" x14ac:dyDescent="0.25">
      <c r="A434" s="184" t="s">
        <v>168</v>
      </c>
      <c r="B434" s="190" t="s">
        <v>564</v>
      </c>
      <c r="C434" s="183" t="s">
        <v>247</v>
      </c>
      <c r="D434" s="192">
        <v>1534998000</v>
      </c>
      <c r="E434" s="192">
        <v>4416983951</v>
      </c>
      <c r="F434" s="178">
        <f>'Realisasi Juli'!G424</f>
        <v>546188358</v>
      </c>
      <c r="G434" s="192"/>
      <c r="H434" s="192">
        <f t="shared" si="152"/>
        <v>546188358</v>
      </c>
      <c r="I434" s="361">
        <f t="shared" si="149"/>
        <v>0.35582349814136566</v>
      </c>
      <c r="J434" s="24">
        <f t="shared" si="142"/>
        <v>0.1236564053795902</v>
      </c>
      <c r="K434" s="233"/>
      <c r="L434" s="175"/>
    </row>
    <row r="435" spans="1:12" s="176" customFormat="1" ht="25.5" customHeight="1" x14ac:dyDescent="0.25">
      <c r="A435" s="188"/>
      <c r="B435" s="178"/>
      <c r="C435" s="193" t="s">
        <v>667</v>
      </c>
      <c r="D435" s="55"/>
      <c r="E435" s="55">
        <v>94357303</v>
      </c>
      <c r="F435" s="178">
        <f>'Realisasi Juli'!G425</f>
        <v>0</v>
      </c>
      <c r="G435" s="55"/>
      <c r="H435" s="192">
        <f t="shared" si="152"/>
        <v>0</v>
      </c>
      <c r="I435" s="361"/>
      <c r="J435" s="24"/>
      <c r="K435" s="232"/>
      <c r="L435" s="175"/>
    </row>
    <row r="436" spans="1:12" s="176" customFormat="1" ht="25.5" customHeight="1" x14ac:dyDescent="0.25">
      <c r="A436" s="184" t="s">
        <v>404</v>
      </c>
      <c r="B436" s="190" t="s">
        <v>565</v>
      </c>
      <c r="C436" s="183" t="s">
        <v>248</v>
      </c>
      <c r="D436" s="178">
        <v>15803499475</v>
      </c>
      <c r="E436" s="178">
        <v>18807424892</v>
      </c>
      <c r="F436" s="178">
        <f>'Realisasi Juli'!G426</f>
        <v>6071989703</v>
      </c>
      <c r="G436" s="178">
        <v>6776983764</v>
      </c>
      <c r="H436" s="192">
        <f t="shared" si="152"/>
        <v>12848973467</v>
      </c>
      <c r="I436" s="361">
        <f t="shared" si="149"/>
        <v>0.81304609066657374</v>
      </c>
      <c r="J436" s="24">
        <f t="shared" si="142"/>
        <v>0.68318621718731365</v>
      </c>
      <c r="K436" s="232"/>
      <c r="L436" s="175"/>
    </row>
    <row r="437" spans="1:12" s="176" customFormat="1" ht="25.5" customHeight="1" x14ac:dyDescent="0.25">
      <c r="A437" s="188"/>
      <c r="B437" s="178"/>
      <c r="C437" s="193" t="s">
        <v>668</v>
      </c>
      <c r="D437" s="55"/>
      <c r="E437" s="55"/>
      <c r="F437" s="178">
        <f>'Realisasi Juli'!G427</f>
        <v>2940062364</v>
      </c>
      <c r="G437" s="55"/>
      <c r="H437" s="192">
        <f t="shared" si="152"/>
        <v>2940062364</v>
      </c>
      <c r="I437" s="361"/>
      <c r="J437" s="24"/>
      <c r="K437" s="231"/>
      <c r="L437" s="175"/>
    </row>
    <row r="438" spans="1:12" s="176" customFormat="1" ht="25.5" customHeight="1" x14ac:dyDescent="0.25">
      <c r="A438" s="188"/>
      <c r="B438" s="178"/>
      <c r="C438" s="193"/>
      <c r="D438" s="55"/>
      <c r="E438" s="55"/>
      <c r="F438" s="55"/>
      <c r="G438" s="55"/>
      <c r="H438" s="192"/>
      <c r="I438" s="361"/>
      <c r="J438" s="24" t="e">
        <f t="shared" si="142"/>
        <v>#DIV/0!</v>
      </c>
      <c r="K438" s="231"/>
      <c r="L438" s="175"/>
    </row>
    <row r="439" spans="1:12" s="176" customFormat="1" ht="25.5" customHeight="1" x14ac:dyDescent="0.25">
      <c r="A439" s="169" t="s">
        <v>163</v>
      </c>
      <c r="B439" s="189" t="s">
        <v>425</v>
      </c>
      <c r="C439" s="185" t="s">
        <v>428</v>
      </c>
      <c r="D439" s="53">
        <f>SUM(D440+D442)</f>
        <v>10466000000</v>
      </c>
      <c r="E439" s="53">
        <f>SUM(E440+E442)</f>
        <v>10466000000</v>
      </c>
      <c r="F439" s="53">
        <f>F442</f>
        <v>3084000000</v>
      </c>
      <c r="G439" s="53">
        <f t="shared" ref="G439:H439" si="153">SUM(G440+G442)</f>
        <v>2532000000</v>
      </c>
      <c r="H439" s="53">
        <f t="shared" si="153"/>
        <v>5616000000</v>
      </c>
      <c r="I439" s="359">
        <f>H439/D439</f>
        <v>0.53659468755971718</v>
      </c>
      <c r="J439" s="236">
        <f t="shared" si="142"/>
        <v>0.53659468755971718</v>
      </c>
      <c r="K439" s="231"/>
      <c r="L439" s="175"/>
    </row>
    <row r="440" spans="1:12" s="176" customFormat="1" ht="25.5" customHeight="1" x14ac:dyDescent="0.25">
      <c r="A440" s="188"/>
      <c r="B440" s="189" t="s">
        <v>429</v>
      </c>
      <c r="C440" s="185" t="s">
        <v>430</v>
      </c>
      <c r="D440" s="55">
        <f>D441</f>
        <v>0</v>
      </c>
      <c r="E440" s="55"/>
      <c r="F440" s="55"/>
      <c r="G440" s="55">
        <f>G441</f>
        <v>0</v>
      </c>
      <c r="H440" s="192">
        <f>G440-D440</f>
        <v>0</v>
      </c>
      <c r="I440" s="361"/>
      <c r="J440" s="236"/>
      <c r="K440" s="231"/>
      <c r="L440" s="175"/>
    </row>
    <row r="441" spans="1:12" s="176" customFormat="1" ht="25.5" customHeight="1" x14ac:dyDescent="0.25">
      <c r="A441" s="188"/>
      <c r="B441" s="189" t="s">
        <v>431</v>
      </c>
      <c r="C441" s="185" t="s">
        <v>432</v>
      </c>
      <c r="D441" s="55"/>
      <c r="E441" s="55"/>
      <c r="F441" s="55"/>
      <c r="G441" s="55"/>
      <c r="H441" s="192">
        <f>G441-D441</f>
        <v>0</v>
      </c>
      <c r="I441" s="361"/>
      <c r="J441" s="236"/>
      <c r="K441" s="231"/>
      <c r="L441" s="175"/>
    </row>
    <row r="442" spans="1:12" s="176" customFormat="1" ht="25.5" customHeight="1" x14ac:dyDescent="0.25">
      <c r="A442" s="188"/>
      <c r="B442" s="189" t="s">
        <v>433</v>
      </c>
      <c r="C442" s="185" t="s">
        <v>434</v>
      </c>
      <c r="D442" s="53">
        <f>D443+D445+D446</f>
        <v>10466000000</v>
      </c>
      <c r="E442" s="53">
        <f>E443+E445+E446</f>
        <v>10466000000</v>
      </c>
      <c r="F442" s="53">
        <f>F443</f>
        <v>3084000000</v>
      </c>
      <c r="G442" s="53">
        <f t="shared" ref="G442:H442" si="154">G443+G445+G446</f>
        <v>2532000000</v>
      </c>
      <c r="H442" s="53">
        <f t="shared" si="154"/>
        <v>5616000000</v>
      </c>
      <c r="I442" s="359">
        <f t="shared" ref="I442:I456" si="155">H442/D442</f>
        <v>0.53659468755971718</v>
      </c>
      <c r="J442" s="236">
        <f t="shared" si="142"/>
        <v>0.53659468755971718</v>
      </c>
      <c r="K442" s="231"/>
      <c r="L442" s="175"/>
    </row>
    <row r="443" spans="1:12" s="176" customFormat="1" ht="25.5" customHeight="1" x14ac:dyDescent="0.25">
      <c r="A443" s="188"/>
      <c r="B443" s="189" t="s">
        <v>566</v>
      </c>
      <c r="C443" s="185" t="s">
        <v>445</v>
      </c>
      <c r="D443" s="53">
        <f>D444</f>
        <v>10466000000</v>
      </c>
      <c r="E443" s="53">
        <f>E444</f>
        <v>10466000000</v>
      </c>
      <c r="F443" s="53">
        <f>SUM(F444:F446)</f>
        <v>3084000000</v>
      </c>
      <c r="G443" s="53">
        <f t="shared" ref="G443:H443" si="156">G444</f>
        <v>1544000000</v>
      </c>
      <c r="H443" s="53">
        <f t="shared" si="156"/>
        <v>4628000000</v>
      </c>
      <c r="I443" s="359">
        <f t="shared" si="155"/>
        <v>0.44219377030384099</v>
      </c>
      <c r="J443" s="236">
        <f t="shared" si="142"/>
        <v>0.44219377030384099</v>
      </c>
      <c r="K443" s="231"/>
      <c r="L443" s="175"/>
    </row>
    <row r="444" spans="1:12" s="176" customFormat="1" ht="25.5" customHeight="1" x14ac:dyDescent="0.25">
      <c r="A444" s="188"/>
      <c r="B444" s="189"/>
      <c r="C444" s="35" t="s">
        <v>602</v>
      </c>
      <c r="D444" s="53">
        <v>10466000000</v>
      </c>
      <c r="E444" s="53">
        <v>10466000000</v>
      </c>
      <c r="F444" s="53">
        <f>'Realisasi Juli'!G434</f>
        <v>3084000000</v>
      </c>
      <c r="G444" s="53">
        <v>1544000000</v>
      </c>
      <c r="H444" s="191">
        <f>F444+G444</f>
        <v>4628000000</v>
      </c>
      <c r="I444" s="359">
        <f t="shared" si="155"/>
        <v>0.44219377030384099</v>
      </c>
      <c r="J444" s="236">
        <f t="shared" si="142"/>
        <v>0.44219377030384099</v>
      </c>
      <c r="K444" s="231"/>
      <c r="L444" s="175"/>
    </row>
    <row r="445" spans="1:12" s="176" customFormat="1" ht="25.5" customHeight="1" x14ac:dyDescent="0.25">
      <c r="A445" s="188"/>
      <c r="B445" s="189"/>
      <c r="C445" s="35" t="s">
        <v>603</v>
      </c>
      <c r="D445" s="53"/>
      <c r="E445" s="53"/>
      <c r="F445" s="53"/>
      <c r="G445" s="53"/>
      <c r="H445" s="191">
        <f t="shared" ref="H445:H448" si="157">F445+G445</f>
        <v>0</v>
      </c>
      <c r="I445" s="359" t="e">
        <f t="shared" si="155"/>
        <v>#DIV/0!</v>
      </c>
      <c r="J445" s="236" t="e">
        <f t="shared" si="142"/>
        <v>#DIV/0!</v>
      </c>
      <c r="K445" s="231"/>
      <c r="L445" s="175"/>
    </row>
    <row r="446" spans="1:12" s="176" customFormat="1" ht="25.5" customHeight="1" x14ac:dyDescent="0.25">
      <c r="A446" s="188"/>
      <c r="B446" s="189"/>
      <c r="C446" s="35" t="s">
        <v>604</v>
      </c>
      <c r="D446" s="53">
        <f>SUM(D447:D448)</f>
        <v>0</v>
      </c>
      <c r="E446" s="53"/>
      <c r="F446" s="53"/>
      <c r="G446" s="53">
        <v>988000000</v>
      </c>
      <c r="H446" s="191">
        <f t="shared" si="157"/>
        <v>988000000</v>
      </c>
      <c r="I446" s="359" t="e">
        <f t="shared" si="155"/>
        <v>#DIV/0!</v>
      </c>
      <c r="J446" s="236" t="e">
        <f t="shared" si="142"/>
        <v>#DIV/0!</v>
      </c>
      <c r="K446" s="231"/>
      <c r="L446" s="175"/>
    </row>
    <row r="447" spans="1:12" s="176" customFormat="1" ht="25.5" customHeight="1" x14ac:dyDescent="0.25">
      <c r="A447" s="188"/>
      <c r="B447" s="189"/>
      <c r="C447" s="193" t="s">
        <v>605</v>
      </c>
      <c r="D447" s="55"/>
      <c r="E447" s="55"/>
      <c r="F447" s="55"/>
      <c r="G447" s="55"/>
      <c r="H447" s="191">
        <f t="shared" si="157"/>
        <v>0</v>
      </c>
      <c r="I447" s="361" t="e">
        <f t="shared" si="155"/>
        <v>#DIV/0!</v>
      </c>
      <c r="J447" s="24" t="e">
        <f t="shared" si="142"/>
        <v>#DIV/0!</v>
      </c>
      <c r="K447" s="231"/>
      <c r="L447" s="175"/>
    </row>
    <row r="448" spans="1:12" s="176" customFormat="1" ht="25.5" customHeight="1" x14ac:dyDescent="0.25">
      <c r="A448" s="188"/>
      <c r="B448" s="178"/>
      <c r="C448" s="193" t="s">
        <v>606</v>
      </c>
      <c r="D448" s="55"/>
      <c r="E448" s="55"/>
      <c r="F448" s="55"/>
      <c r="G448" s="55"/>
      <c r="H448" s="191">
        <f t="shared" si="157"/>
        <v>0</v>
      </c>
      <c r="I448" s="361" t="e">
        <f t="shared" si="155"/>
        <v>#DIV/0!</v>
      </c>
      <c r="J448" s="24" t="e">
        <f t="shared" si="142"/>
        <v>#DIV/0!</v>
      </c>
      <c r="K448" s="231"/>
      <c r="L448" s="175"/>
    </row>
    <row r="449" spans="1:12" s="176" customFormat="1" ht="25.5" customHeight="1" x14ac:dyDescent="0.25">
      <c r="A449" s="129" t="s">
        <v>241</v>
      </c>
      <c r="B449" s="128" t="s">
        <v>242</v>
      </c>
      <c r="C449" s="41" t="s">
        <v>243</v>
      </c>
      <c r="D449" s="42">
        <f>D450</f>
        <v>0</v>
      </c>
      <c r="E449" s="42"/>
      <c r="F449" s="42"/>
      <c r="G449" s="42">
        <f t="shared" ref="G449:H450" si="158">G450</f>
        <v>0</v>
      </c>
      <c r="H449" s="42">
        <f t="shared" si="158"/>
        <v>0</v>
      </c>
      <c r="I449" s="360" t="e">
        <f t="shared" si="155"/>
        <v>#DIV/0!</v>
      </c>
      <c r="J449" s="237" t="e">
        <f t="shared" si="142"/>
        <v>#DIV/0!</v>
      </c>
      <c r="K449" s="231"/>
      <c r="L449" s="175"/>
    </row>
    <row r="450" spans="1:12" s="176" customFormat="1" ht="41.25" customHeight="1" x14ac:dyDescent="0.25">
      <c r="A450" s="168" t="s">
        <v>166</v>
      </c>
      <c r="B450" s="189" t="s">
        <v>418</v>
      </c>
      <c r="C450" s="30" t="s">
        <v>419</v>
      </c>
      <c r="D450" s="191">
        <f>D451</f>
        <v>0</v>
      </c>
      <c r="E450" s="191"/>
      <c r="F450" s="191"/>
      <c r="G450" s="191">
        <f t="shared" si="158"/>
        <v>0</v>
      </c>
      <c r="H450" s="191">
        <f t="shared" si="158"/>
        <v>0</v>
      </c>
      <c r="I450" s="359" t="e">
        <f t="shared" si="155"/>
        <v>#DIV/0!</v>
      </c>
      <c r="J450" s="236" t="e">
        <f t="shared" si="142"/>
        <v>#DIV/0!</v>
      </c>
      <c r="K450" s="231"/>
      <c r="L450" s="175"/>
    </row>
    <row r="451" spans="1:12" s="176" customFormat="1" ht="25.5" customHeight="1" x14ac:dyDescent="0.25">
      <c r="A451" s="169"/>
      <c r="B451" s="189" t="s">
        <v>420</v>
      </c>
      <c r="C451" s="185" t="s">
        <v>421</v>
      </c>
      <c r="D451" s="191">
        <f>D452+D466</f>
        <v>0</v>
      </c>
      <c r="E451" s="191"/>
      <c r="F451" s="191"/>
      <c r="G451" s="191">
        <f t="shared" ref="G451:H451" si="159">G452+G466</f>
        <v>0</v>
      </c>
      <c r="H451" s="191">
        <f t="shared" si="159"/>
        <v>0</v>
      </c>
      <c r="I451" s="359" t="e">
        <f t="shared" si="155"/>
        <v>#DIV/0!</v>
      </c>
      <c r="J451" s="236" t="e">
        <f t="shared" si="142"/>
        <v>#DIV/0!</v>
      </c>
      <c r="K451" s="231"/>
      <c r="L451" s="175"/>
    </row>
    <row r="452" spans="1:12" s="176" customFormat="1" ht="25.5" customHeight="1" x14ac:dyDescent="0.25">
      <c r="A452" s="168" t="s">
        <v>89</v>
      </c>
      <c r="B452" s="189" t="s">
        <v>422</v>
      </c>
      <c r="C452" s="185" t="s">
        <v>423</v>
      </c>
      <c r="D452" s="191">
        <f>D453</f>
        <v>0</v>
      </c>
      <c r="E452" s="191"/>
      <c r="F452" s="191"/>
      <c r="G452" s="191">
        <f t="shared" ref="G452:H452" si="160">G453</f>
        <v>0</v>
      </c>
      <c r="H452" s="191">
        <f t="shared" si="160"/>
        <v>0</v>
      </c>
      <c r="I452" s="359" t="e">
        <f t="shared" si="155"/>
        <v>#DIV/0!</v>
      </c>
      <c r="J452" s="236" t="e">
        <f t="shared" si="142"/>
        <v>#DIV/0!</v>
      </c>
      <c r="K452" s="231"/>
      <c r="L452" s="175"/>
    </row>
    <row r="453" spans="1:12" s="176" customFormat="1" ht="25.5" customHeight="1" x14ac:dyDescent="0.25">
      <c r="A453" s="169"/>
      <c r="B453" s="190" t="s">
        <v>424</v>
      </c>
      <c r="C453" s="183" t="s">
        <v>423</v>
      </c>
      <c r="D453" s="192"/>
      <c r="E453" s="192"/>
      <c r="F453" s="192"/>
      <c r="G453" s="192"/>
      <c r="H453" s="192">
        <f>F453+G453</f>
        <v>0</v>
      </c>
      <c r="I453" s="361" t="e">
        <f t="shared" si="155"/>
        <v>#DIV/0!</v>
      </c>
      <c r="J453" s="24" t="e">
        <f t="shared" si="142"/>
        <v>#DIV/0!</v>
      </c>
      <c r="K453" s="231"/>
      <c r="L453" s="175"/>
    </row>
    <row r="454" spans="1:12" s="176" customFormat="1" ht="25.5" customHeight="1" x14ac:dyDescent="0.25">
      <c r="A454" s="169"/>
      <c r="B454" s="190"/>
      <c r="C454" s="193" t="s">
        <v>607</v>
      </c>
      <c r="D454" s="192"/>
      <c r="E454" s="192"/>
      <c r="F454" s="192"/>
      <c r="G454" s="192"/>
      <c r="H454" s="192"/>
      <c r="I454" s="361" t="e">
        <f t="shared" si="155"/>
        <v>#DIV/0!</v>
      </c>
      <c r="J454" s="24" t="e">
        <f t="shared" si="142"/>
        <v>#DIV/0!</v>
      </c>
      <c r="K454" s="231"/>
      <c r="L454" s="175"/>
    </row>
    <row r="455" spans="1:12" s="176" customFormat="1" ht="25.5" customHeight="1" x14ac:dyDescent="0.25">
      <c r="A455" s="169"/>
      <c r="B455" s="190"/>
      <c r="C455" s="193" t="s">
        <v>608</v>
      </c>
      <c r="D455" s="192"/>
      <c r="E455" s="192"/>
      <c r="F455" s="192"/>
      <c r="G455" s="192"/>
      <c r="H455" s="192"/>
      <c r="I455" s="361" t="e">
        <f t="shared" si="155"/>
        <v>#DIV/0!</v>
      </c>
      <c r="J455" s="24" t="e">
        <f t="shared" si="142"/>
        <v>#DIV/0!</v>
      </c>
      <c r="K455" s="231"/>
      <c r="L455" s="175"/>
    </row>
    <row r="456" spans="1:12" s="176" customFormat="1" ht="25.5" customHeight="1" x14ac:dyDescent="0.25">
      <c r="A456" s="169"/>
      <c r="B456" s="190"/>
      <c r="C456" s="193" t="s">
        <v>609</v>
      </c>
      <c r="D456" s="192"/>
      <c r="E456" s="192"/>
      <c r="F456" s="192"/>
      <c r="G456" s="192"/>
      <c r="H456" s="192"/>
      <c r="I456" s="361" t="e">
        <f t="shared" si="155"/>
        <v>#DIV/0!</v>
      </c>
      <c r="J456" s="24" t="e">
        <f t="shared" si="142"/>
        <v>#DIV/0!</v>
      </c>
      <c r="K456" s="231"/>
      <c r="L456" s="175"/>
    </row>
    <row r="457" spans="1:12" s="176" customFormat="1" ht="25.5" customHeight="1" x14ac:dyDescent="0.25">
      <c r="A457" s="169"/>
      <c r="B457" s="190"/>
      <c r="C457" s="183" t="s">
        <v>610</v>
      </c>
      <c r="D457" s="192"/>
      <c r="E457" s="192"/>
      <c r="F457" s="192"/>
      <c r="G457" s="192"/>
      <c r="H457" s="192"/>
      <c r="I457" s="361"/>
      <c r="J457" s="24"/>
      <c r="K457" s="231"/>
      <c r="L457" s="175"/>
    </row>
    <row r="458" spans="1:12" s="176" customFormat="1" ht="25.5" customHeight="1" x14ac:dyDescent="0.25">
      <c r="A458" s="169"/>
      <c r="B458" s="190"/>
      <c r="C458" s="183" t="s">
        <v>611</v>
      </c>
      <c r="D458" s="192"/>
      <c r="E458" s="192"/>
      <c r="F458" s="192"/>
      <c r="G458" s="192"/>
      <c r="H458" s="192"/>
      <c r="I458" s="361"/>
      <c r="J458" s="24"/>
      <c r="K458" s="231"/>
      <c r="L458" s="175"/>
    </row>
    <row r="459" spans="1:12" s="176" customFormat="1" ht="25.5" customHeight="1" x14ac:dyDescent="0.25">
      <c r="A459" s="169"/>
      <c r="B459" s="190"/>
      <c r="C459" s="183" t="s">
        <v>612</v>
      </c>
      <c r="D459" s="192"/>
      <c r="E459" s="192"/>
      <c r="F459" s="192"/>
      <c r="G459" s="192"/>
      <c r="H459" s="192"/>
      <c r="I459" s="361"/>
      <c r="J459" s="24"/>
      <c r="K459" s="231"/>
      <c r="L459" s="175"/>
    </row>
    <row r="460" spans="1:12" s="176" customFormat="1" ht="25.5" customHeight="1" x14ac:dyDescent="0.25">
      <c r="A460" s="169"/>
      <c r="B460" s="190"/>
      <c r="C460" s="183" t="s">
        <v>613</v>
      </c>
      <c r="D460" s="192"/>
      <c r="E460" s="192"/>
      <c r="F460" s="192"/>
      <c r="G460" s="192"/>
      <c r="H460" s="192"/>
      <c r="I460" s="361"/>
      <c r="J460" s="24"/>
      <c r="K460" s="231"/>
      <c r="L460" s="175"/>
    </row>
    <row r="461" spans="1:12" s="176" customFormat="1" ht="25.5" customHeight="1" x14ac:dyDescent="0.25">
      <c r="A461" s="169"/>
      <c r="B461" s="190"/>
      <c r="C461" s="193" t="s">
        <v>614</v>
      </c>
      <c r="D461" s="192"/>
      <c r="E461" s="192"/>
      <c r="F461" s="192"/>
      <c r="G461" s="192"/>
      <c r="H461" s="192"/>
      <c r="I461" s="361" t="e">
        <f>H461/D461</f>
        <v>#DIV/0!</v>
      </c>
      <c r="J461" s="24" t="e">
        <f t="shared" si="142"/>
        <v>#DIV/0!</v>
      </c>
      <c r="K461" s="231"/>
      <c r="L461" s="175"/>
    </row>
    <row r="462" spans="1:12" s="176" customFormat="1" ht="25.5" customHeight="1" x14ac:dyDescent="0.25">
      <c r="A462" s="169"/>
      <c r="B462" s="190"/>
      <c r="C462" s="183" t="s">
        <v>616</v>
      </c>
      <c r="D462" s="192"/>
      <c r="E462" s="192"/>
      <c r="F462" s="192"/>
      <c r="G462" s="192"/>
      <c r="H462" s="192"/>
      <c r="I462" s="361"/>
      <c r="J462" s="24"/>
      <c r="K462" s="231"/>
      <c r="L462" s="175"/>
    </row>
    <row r="463" spans="1:12" s="176" customFormat="1" ht="25.5" customHeight="1" x14ac:dyDescent="0.25">
      <c r="A463" s="169"/>
      <c r="B463" s="190"/>
      <c r="C463" s="183" t="s">
        <v>615</v>
      </c>
      <c r="D463" s="192"/>
      <c r="E463" s="192"/>
      <c r="F463" s="192"/>
      <c r="G463" s="192"/>
      <c r="H463" s="192"/>
      <c r="I463" s="361"/>
      <c r="J463" s="24"/>
      <c r="K463" s="231"/>
      <c r="L463" s="175"/>
    </row>
    <row r="464" spans="1:12" s="176" customFormat="1" ht="25.5" customHeight="1" x14ac:dyDescent="0.25">
      <c r="A464" s="169"/>
      <c r="B464" s="190"/>
      <c r="C464" s="183" t="s">
        <v>617</v>
      </c>
      <c r="D464" s="192"/>
      <c r="E464" s="192"/>
      <c r="F464" s="192"/>
      <c r="G464" s="192"/>
      <c r="H464" s="192"/>
      <c r="I464" s="361"/>
      <c r="J464" s="24"/>
      <c r="K464" s="231"/>
      <c r="L464" s="175"/>
    </row>
    <row r="465" spans="1:12" s="176" customFormat="1" ht="25.5" customHeight="1" x14ac:dyDescent="0.25">
      <c r="A465" s="169"/>
      <c r="B465" s="190"/>
      <c r="C465" s="183"/>
      <c r="D465" s="192"/>
      <c r="E465" s="192"/>
      <c r="F465" s="192"/>
      <c r="G465" s="192"/>
      <c r="H465" s="192"/>
      <c r="I465" s="361"/>
      <c r="J465" s="24"/>
      <c r="K465" s="231"/>
      <c r="L465" s="175"/>
    </row>
    <row r="466" spans="1:12" s="176" customFormat="1" ht="25.5" customHeight="1" x14ac:dyDescent="0.25">
      <c r="A466" s="168" t="s">
        <v>91</v>
      </c>
      <c r="B466" s="189" t="s">
        <v>618</v>
      </c>
      <c r="C466" s="185" t="s">
        <v>620</v>
      </c>
      <c r="D466" s="191">
        <f>D467</f>
        <v>0</v>
      </c>
      <c r="E466" s="191"/>
      <c r="F466" s="191"/>
      <c r="G466" s="191">
        <f t="shared" ref="G466:H466" si="161">G467</f>
        <v>0</v>
      </c>
      <c r="H466" s="191">
        <f t="shared" si="161"/>
        <v>0</v>
      </c>
      <c r="I466" s="359" t="e">
        <f>H466/D466</f>
        <v>#DIV/0!</v>
      </c>
      <c r="J466" s="236" t="e">
        <f t="shared" ref="J466:J469" si="162">H466/E466</f>
        <v>#DIV/0!</v>
      </c>
      <c r="K466" s="231"/>
      <c r="L466" s="175"/>
    </row>
    <row r="467" spans="1:12" s="176" customFormat="1" ht="32.25" customHeight="1" x14ac:dyDescent="0.25">
      <c r="A467" s="169"/>
      <c r="B467" s="190" t="s">
        <v>619</v>
      </c>
      <c r="C467" s="58" t="s">
        <v>621</v>
      </c>
      <c r="D467" s="192">
        <v>0</v>
      </c>
      <c r="E467" s="192"/>
      <c r="F467" s="192"/>
      <c r="G467" s="192"/>
      <c r="H467" s="192"/>
      <c r="I467" s="361" t="e">
        <f>H467/D467</f>
        <v>#DIV/0!</v>
      </c>
      <c r="J467" s="24" t="e">
        <f t="shared" si="162"/>
        <v>#DIV/0!</v>
      </c>
      <c r="K467" s="231"/>
      <c r="L467" s="175"/>
    </row>
    <row r="468" spans="1:12" s="176" customFormat="1" ht="25.5" customHeight="1" x14ac:dyDescent="0.25">
      <c r="A468" s="169"/>
      <c r="B468" s="190"/>
      <c r="C468" s="183"/>
      <c r="D468" s="192"/>
      <c r="E468" s="192"/>
      <c r="F468" s="192"/>
      <c r="G468" s="192"/>
      <c r="H468" s="192"/>
      <c r="I468" s="361"/>
      <c r="J468" s="236"/>
      <c r="K468" s="231"/>
      <c r="L468" s="175"/>
    </row>
    <row r="469" spans="1:12" s="176" customFormat="1" ht="30.75" customHeight="1" thickBot="1" x14ac:dyDescent="0.3">
      <c r="A469" s="59"/>
      <c r="B469" s="60"/>
      <c r="C469" s="61" t="s">
        <v>249</v>
      </c>
      <c r="D469" s="62">
        <f>D11</f>
        <v>1278070744453.6699</v>
      </c>
      <c r="E469" s="62">
        <f>E11</f>
        <v>1365633825116</v>
      </c>
      <c r="F469" s="62">
        <f>F11</f>
        <v>774533121327.94995</v>
      </c>
      <c r="G469" s="62">
        <f t="shared" ref="G469:H469" si="163">G11</f>
        <v>104265082812.17999</v>
      </c>
      <c r="H469" s="62">
        <f t="shared" si="163"/>
        <v>878798204140.12988</v>
      </c>
      <c r="I469" s="370">
        <f>H469/D469</f>
        <v>0.68759746512763276</v>
      </c>
      <c r="J469" s="242">
        <f t="shared" si="162"/>
        <v>0.64350940052724803</v>
      </c>
      <c r="K469" s="234"/>
      <c r="L469" s="175"/>
    </row>
    <row r="470" spans="1:12" s="176" customFormat="1" hidden="1" x14ac:dyDescent="0.25">
      <c r="A470" s="63"/>
      <c r="B470" s="64"/>
      <c r="C470" s="65"/>
      <c r="D470" s="66"/>
      <c r="E470" s="66"/>
      <c r="F470" s="66"/>
      <c r="G470" s="66"/>
      <c r="H470" s="66"/>
      <c r="I470" s="66"/>
      <c r="J470" s="66"/>
      <c r="K470" s="67" t="e">
        <f>SUM(G470/D470)</f>
        <v>#DIV/0!</v>
      </c>
      <c r="L470" s="175"/>
    </row>
    <row r="471" spans="1:12" s="176" customFormat="1" hidden="1" x14ac:dyDescent="0.25">
      <c r="A471" s="68" t="s">
        <v>250</v>
      </c>
      <c r="B471" s="69" t="s">
        <v>46</v>
      </c>
      <c r="C471" s="70" t="s">
        <v>251</v>
      </c>
      <c r="D471" s="71" t="e">
        <f>SUM(#REF!-#REF!)</f>
        <v>#REF!</v>
      </c>
      <c r="E471" s="71"/>
      <c r="F471" s="71"/>
      <c r="G471" s="71" t="e">
        <f>SUM(#REF!-#REF!)</f>
        <v>#REF!</v>
      </c>
      <c r="H471" s="71"/>
      <c r="I471" s="71"/>
      <c r="J471" s="71"/>
      <c r="K471" s="72" t="e">
        <f>SUM(G471/#REF!)</f>
        <v>#REF!</v>
      </c>
      <c r="L471" s="175"/>
    </row>
    <row r="472" spans="1:12" s="176" customFormat="1" hidden="1" x14ac:dyDescent="0.25">
      <c r="A472" s="68"/>
      <c r="B472" s="69" t="s">
        <v>252</v>
      </c>
      <c r="C472" s="70" t="s">
        <v>253</v>
      </c>
      <c r="D472" s="71" t="e">
        <f>SUM(#REF!-#REF!)</f>
        <v>#REF!</v>
      </c>
      <c r="E472" s="71"/>
      <c r="F472" s="71"/>
      <c r="G472" s="71" t="e">
        <f>SUM(#REF!-#REF!)</f>
        <v>#REF!</v>
      </c>
      <c r="H472" s="71"/>
      <c r="I472" s="71"/>
      <c r="J472" s="71"/>
      <c r="K472" s="72" t="e">
        <f>SUM(G472/#REF!)</f>
        <v>#REF!</v>
      </c>
      <c r="L472" s="175"/>
    </row>
    <row r="473" spans="1:12" s="176" customFormat="1" hidden="1" x14ac:dyDescent="0.25">
      <c r="A473" s="68"/>
      <c r="B473" s="69" t="s">
        <v>254</v>
      </c>
      <c r="C473" s="70" t="s">
        <v>255</v>
      </c>
      <c r="D473" s="71" t="e">
        <f>SUM(#REF!-#REF!)</f>
        <v>#REF!</v>
      </c>
      <c r="E473" s="71"/>
      <c r="F473" s="71"/>
      <c r="G473" s="71" t="e">
        <f>SUM(#REF!-#REF!)</f>
        <v>#REF!</v>
      </c>
      <c r="H473" s="71"/>
      <c r="I473" s="71"/>
      <c r="J473" s="71"/>
      <c r="K473" s="72" t="e">
        <f>SUM(G473/#REF!)</f>
        <v>#REF!</v>
      </c>
      <c r="L473" s="175"/>
    </row>
    <row r="474" spans="1:12" s="176" customFormat="1" hidden="1" x14ac:dyDescent="0.25">
      <c r="A474" s="68"/>
      <c r="B474" s="69" t="s">
        <v>256</v>
      </c>
      <c r="C474" s="70" t="s">
        <v>257</v>
      </c>
      <c r="D474" s="71" t="e">
        <f>SUM(#REF!-#REF!)</f>
        <v>#REF!</v>
      </c>
      <c r="E474" s="71"/>
      <c r="F474" s="71"/>
      <c r="G474" s="71" t="e">
        <f>SUM(#REF!-#REF!)</f>
        <v>#REF!</v>
      </c>
      <c r="H474" s="71"/>
      <c r="I474" s="71"/>
      <c r="J474" s="71"/>
      <c r="K474" s="72">
        <v>1</v>
      </c>
      <c r="L474" s="175"/>
    </row>
    <row r="475" spans="1:12" s="176" customFormat="1" hidden="1" x14ac:dyDescent="0.25">
      <c r="A475" s="68"/>
      <c r="B475" s="69" t="s">
        <v>258</v>
      </c>
      <c r="C475" s="70" t="s">
        <v>259</v>
      </c>
      <c r="D475" s="71" t="e">
        <f>SUM(#REF!-#REF!)</f>
        <v>#REF!</v>
      </c>
      <c r="E475" s="71"/>
      <c r="F475" s="71"/>
      <c r="G475" s="71" t="e">
        <f>SUM(#REF!-#REF!)</f>
        <v>#REF!</v>
      </c>
      <c r="H475" s="71"/>
      <c r="I475" s="71"/>
      <c r="J475" s="71"/>
      <c r="K475" s="72">
        <v>1</v>
      </c>
      <c r="L475" s="175"/>
    </row>
    <row r="476" spans="1:12" s="176" customFormat="1" hidden="1" x14ac:dyDescent="0.25">
      <c r="A476" s="68"/>
      <c r="B476" s="73" t="s">
        <v>260</v>
      </c>
      <c r="C476" s="74" t="s">
        <v>261</v>
      </c>
      <c r="D476" s="38" t="e">
        <f>SUM(#REF!-#REF!)</f>
        <v>#REF!</v>
      </c>
      <c r="E476" s="38"/>
      <c r="F476" s="38"/>
      <c r="G476" s="38" t="e">
        <f>SUM(#REF!-#REF!)</f>
        <v>#REF!</v>
      </c>
      <c r="H476" s="38"/>
      <c r="I476" s="38"/>
      <c r="J476" s="38"/>
      <c r="K476" s="75">
        <v>1</v>
      </c>
      <c r="L476" s="175"/>
    </row>
    <row r="477" spans="1:12" s="176" customFormat="1" hidden="1" x14ac:dyDescent="0.25">
      <c r="A477" s="68"/>
      <c r="B477" s="76"/>
      <c r="C477" s="74" t="s">
        <v>262</v>
      </c>
      <c r="D477" s="38" t="e">
        <f>SUM(#REF!-#REF!)</f>
        <v>#REF!</v>
      </c>
      <c r="E477" s="38"/>
      <c r="F477" s="38"/>
      <c r="G477" s="38" t="e">
        <f>SUM(#REF!-#REF!)</f>
        <v>#REF!</v>
      </c>
      <c r="H477" s="38"/>
      <c r="I477" s="38"/>
      <c r="J477" s="38"/>
      <c r="K477" s="75">
        <v>1</v>
      </c>
      <c r="L477" s="175"/>
    </row>
    <row r="478" spans="1:12" s="176" customFormat="1" ht="18" hidden="1" customHeight="1" x14ac:dyDescent="0.25">
      <c r="A478" s="68"/>
      <c r="B478" s="77"/>
      <c r="C478" s="78" t="s">
        <v>263</v>
      </c>
      <c r="D478" s="38" t="e">
        <f>SUM(#REF!-#REF!)</f>
        <v>#REF!</v>
      </c>
      <c r="E478" s="38"/>
      <c r="F478" s="38"/>
      <c r="G478" s="38" t="e">
        <f>SUM(#REF!-#REF!)</f>
        <v>#REF!</v>
      </c>
      <c r="H478" s="38"/>
      <c r="I478" s="38"/>
      <c r="J478" s="38"/>
      <c r="K478" s="72" t="e">
        <f>SUM(G478/#REF!)</f>
        <v>#REF!</v>
      </c>
      <c r="L478" s="175"/>
    </row>
    <row r="479" spans="1:12" s="175" customFormat="1" x14ac:dyDescent="0.25">
      <c r="A479" s="1"/>
      <c r="B479" s="79"/>
      <c r="C479" s="337"/>
      <c r="D479" s="80"/>
      <c r="E479" s="80"/>
      <c r="F479" s="80"/>
      <c r="G479" s="80"/>
      <c r="H479" s="80"/>
      <c r="I479" s="80"/>
      <c r="J479" s="80"/>
      <c r="K479" s="337"/>
    </row>
    <row r="480" spans="1:12" s="175" customFormat="1" x14ac:dyDescent="0.25">
      <c r="A480" s="1"/>
      <c r="B480" s="79"/>
      <c r="C480" s="337"/>
      <c r="D480" s="194"/>
      <c r="E480" s="194"/>
      <c r="F480" s="194"/>
      <c r="G480" s="194"/>
      <c r="H480" s="194"/>
      <c r="I480" s="194"/>
      <c r="J480" s="194"/>
    </row>
    <row r="481" spans="1:10" s="175" customFormat="1" x14ac:dyDescent="0.25">
      <c r="A481" s="287"/>
      <c r="B481" s="288"/>
      <c r="C481" s="337"/>
      <c r="H481" s="291" t="s">
        <v>703</v>
      </c>
      <c r="I481" s="194"/>
      <c r="J481" s="194"/>
    </row>
    <row r="482" spans="1:10" s="175" customFormat="1" x14ac:dyDescent="0.25">
      <c r="A482" s="1"/>
      <c r="B482" s="79"/>
      <c r="C482" s="337"/>
      <c r="H482" s="291" t="s">
        <v>630</v>
      </c>
      <c r="I482" s="201"/>
      <c r="J482" s="201"/>
    </row>
    <row r="483" spans="1:10" s="175" customFormat="1" x14ac:dyDescent="0.25">
      <c r="A483" s="1"/>
      <c r="B483" s="79"/>
      <c r="C483" s="337"/>
      <c r="H483" s="291"/>
      <c r="I483" s="195"/>
      <c r="J483" s="195"/>
    </row>
    <row r="484" spans="1:10" s="175" customFormat="1" x14ac:dyDescent="0.25">
      <c r="A484" s="1"/>
      <c r="B484" s="79"/>
      <c r="C484" s="337"/>
      <c r="H484" s="291"/>
      <c r="I484" s="195"/>
      <c r="J484" s="195"/>
    </row>
    <row r="485" spans="1:10" s="175" customFormat="1" x14ac:dyDescent="0.25">
      <c r="A485" s="1"/>
      <c r="B485" s="79"/>
      <c r="C485" s="337"/>
      <c r="H485" s="291"/>
      <c r="I485" s="195"/>
      <c r="J485" s="195"/>
    </row>
    <row r="486" spans="1:10" s="175" customFormat="1" x14ac:dyDescent="0.25">
      <c r="A486" s="1"/>
      <c r="B486" s="79"/>
      <c r="C486" s="337"/>
      <c r="H486" s="292" t="s">
        <v>579</v>
      </c>
      <c r="I486" s="195"/>
      <c r="J486" s="195"/>
    </row>
    <row r="487" spans="1:10" s="175" customFormat="1" x14ac:dyDescent="0.25">
      <c r="A487" s="1"/>
      <c r="B487" s="79"/>
      <c r="C487" s="337"/>
      <c r="H487" s="291" t="s">
        <v>577</v>
      </c>
      <c r="I487" s="201"/>
      <c r="J487" s="201"/>
    </row>
    <row r="488" spans="1:10" x14ac:dyDescent="0.25">
      <c r="H488" s="291" t="s">
        <v>576</v>
      </c>
    </row>
  </sheetData>
  <mergeCells count="10">
    <mergeCell ref="B2:C2"/>
    <mergeCell ref="B3:C3"/>
    <mergeCell ref="B4:C4"/>
    <mergeCell ref="B5:C5"/>
    <mergeCell ref="G6:I6"/>
    <mergeCell ref="A7:A8"/>
    <mergeCell ref="B7:B8"/>
    <mergeCell ref="C7:C8"/>
    <mergeCell ref="F7:H7"/>
    <mergeCell ref="K7:K8"/>
  </mergeCells>
  <pageMargins left="0.59" right="0.15748031496062992" top="1.27" bottom="0.47244094488188981" header="0.39370078740157483" footer="0.23622047244094491"/>
  <pageSetup paperSize="9" scale="5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N62"/>
  <sheetViews>
    <sheetView topLeftCell="A7" zoomScale="70" zoomScaleNormal="70" workbookViewId="0">
      <selection activeCell="L34" sqref="L34"/>
    </sheetView>
  </sheetViews>
  <sheetFormatPr defaultColWidth="9.28515625" defaultRowHeight="13.15" customHeight="1" x14ac:dyDescent="0.25"/>
  <cols>
    <col min="1" max="1" width="6.7109375" style="113" customWidth="1"/>
    <col min="2" max="2" width="16.140625" style="113" customWidth="1"/>
    <col min="3" max="3" width="56" style="81" customWidth="1"/>
    <col min="4" max="5" width="29.5703125" style="81" customWidth="1"/>
    <col min="6" max="6" width="29.140625" style="81" customWidth="1"/>
    <col min="7" max="7" width="28.42578125" style="81" customWidth="1"/>
    <col min="8" max="8" width="28.85546875" style="81" customWidth="1"/>
    <col min="9" max="9" width="12.85546875" style="81" bestFit="1" customWidth="1"/>
    <col min="10" max="10" width="11.42578125" style="271" customWidth="1"/>
    <col min="11" max="11" width="33" style="271" customWidth="1"/>
    <col min="12" max="12" width="30.5703125" style="81" customWidth="1"/>
    <col min="13" max="13" width="24.28515625" style="81" bestFit="1" customWidth="1"/>
    <col min="14" max="14" width="23.5703125" style="81" customWidth="1"/>
    <col min="15" max="31" width="9.28515625" style="81" customWidth="1"/>
    <col min="32" max="16384" width="9.28515625" style="81"/>
  </cols>
  <sheetData>
    <row r="2" spans="1:14" ht="17.25" customHeight="1" x14ac:dyDescent="0.25">
      <c r="B2" s="452" t="s">
        <v>0</v>
      </c>
      <c r="C2" s="452"/>
      <c r="D2" s="452"/>
      <c r="E2" s="5" t="s">
        <v>486</v>
      </c>
      <c r="F2" s="5"/>
      <c r="G2" s="5"/>
      <c r="H2" s="175"/>
      <c r="I2" s="175"/>
    </row>
    <row r="3" spans="1:14" ht="17.25" customHeight="1" x14ac:dyDescent="0.25">
      <c r="B3" s="445" t="s">
        <v>480</v>
      </c>
      <c r="C3" s="445"/>
      <c r="D3" s="445"/>
      <c r="E3" s="5" t="s">
        <v>631</v>
      </c>
      <c r="F3" s="5"/>
      <c r="G3" s="5"/>
      <c r="H3" s="175"/>
      <c r="I3" s="175"/>
    </row>
    <row r="4" spans="1:14" ht="23.25" customHeight="1" x14ac:dyDescent="0.25">
      <c r="B4" s="453" t="s">
        <v>481</v>
      </c>
      <c r="C4" s="453"/>
      <c r="D4" s="453"/>
      <c r="E4" s="6" t="s">
        <v>690</v>
      </c>
      <c r="F4" s="6"/>
      <c r="G4" s="6"/>
      <c r="H4" s="175"/>
      <c r="I4" s="175"/>
    </row>
    <row r="5" spans="1:14" ht="23.25" customHeight="1" x14ac:dyDescent="0.25">
      <c r="B5" s="453"/>
      <c r="C5" s="453"/>
      <c r="D5" s="6"/>
      <c r="E5" s="6"/>
      <c r="F5" s="6"/>
      <c r="G5" s="175"/>
      <c r="H5" s="175"/>
      <c r="I5" s="175"/>
    </row>
    <row r="6" spans="1:14" ht="21" customHeight="1" x14ac:dyDescent="0.25">
      <c r="B6" s="339"/>
      <c r="C6" s="339"/>
      <c r="D6" s="7"/>
      <c r="E6" s="7"/>
      <c r="F6" s="7"/>
      <c r="G6" s="449"/>
      <c r="H6" s="449"/>
      <c r="I6" s="449"/>
    </row>
    <row r="7" spans="1:14" ht="21" customHeight="1" thickBot="1" x14ac:dyDescent="0.3">
      <c r="B7" s="339"/>
      <c r="C7" s="339"/>
      <c r="D7" s="7"/>
      <c r="E7" s="7"/>
      <c r="F7" s="7"/>
      <c r="G7" s="449"/>
      <c r="H7" s="449"/>
      <c r="I7" s="449"/>
    </row>
    <row r="8" spans="1:14" s="83" customFormat="1" ht="23.25" customHeight="1" x14ac:dyDescent="0.25">
      <c r="A8" s="435" t="s">
        <v>2</v>
      </c>
      <c r="B8" s="437" t="s">
        <v>3</v>
      </c>
      <c r="C8" s="437" t="s">
        <v>4</v>
      </c>
      <c r="D8" s="202" t="s">
        <v>5</v>
      </c>
      <c r="E8" s="202" t="s">
        <v>5</v>
      </c>
      <c r="F8" s="441" t="s">
        <v>475</v>
      </c>
      <c r="G8" s="441"/>
      <c r="H8" s="441"/>
      <c r="I8" s="202" t="s">
        <v>6</v>
      </c>
      <c r="J8" s="350" t="s">
        <v>6</v>
      </c>
      <c r="K8" s="272"/>
    </row>
    <row r="9" spans="1:14" s="83" customFormat="1" ht="23.25" customHeight="1" x14ac:dyDescent="0.25">
      <c r="A9" s="436"/>
      <c r="B9" s="438"/>
      <c r="C9" s="438"/>
      <c r="D9" s="203" t="s">
        <v>632</v>
      </c>
      <c r="E9" s="203" t="s">
        <v>697</v>
      </c>
      <c r="F9" s="251" t="s">
        <v>476</v>
      </c>
      <c r="G9" s="251" t="s">
        <v>477</v>
      </c>
      <c r="H9" s="251" t="s">
        <v>478</v>
      </c>
      <c r="I9" s="203" t="s">
        <v>700</v>
      </c>
      <c r="J9" s="351" t="s">
        <v>701</v>
      </c>
      <c r="K9" s="272"/>
    </row>
    <row r="10" spans="1:14" ht="15.75" customHeight="1" x14ac:dyDescent="0.25">
      <c r="A10" s="11">
        <v>1</v>
      </c>
      <c r="B10" s="12">
        <v>2</v>
      </c>
      <c r="C10" s="13">
        <v>3</v>
      </c>
      <c r="D10" s="14">
        <v>4</v>
      </c>
      <c r="E10" s="14"/>
      <c r="F10" s="14">
        <v>5</v>
      </c>
      <c r="G10" s="14">
        <v>6</v>
      </c>
      <c r="H10" s="15" t="s">
        <v>582</v>
      </c>
      <c r="I10" s="357" t="s">
        <v>583</v>
      </c>
      <c r="J10" s="235"/>
    </row>
    <row r="11" spans="1:14" ht="20.25" customHeight="1" x14ac:dyDescent="0.25">
      <c r="A11" s="318"/>
      <c r="B11" s="199" t="s">
        <v>473</v>
      </c>
      <c r="C11" s="200" t="s">
        <v>9</v>
      </c>
      <c r="D11" s="275">
        <f>D36</f>
        <v>1278070744453.6699</v>
      </c>
      <c r="E11" s="275">
        <f>E36</f>
        <v>1365623875116</v>
      </c>
      <c r="F11" s="275">
        <f t="shared" ref="F11:H11" si="0">F36</f>
        <v>774533121327.94995</v>
      </c>
      <c r="G11" s="275">
        <f t="shared" si="0"/>
        <v>104265082812.17999</v>
      </c>
      <c r="H11" s="275">
        <f t="shared" si="0"/>
        <v>878798204140.13</v>
      </c>
      <c r="I11" s="374">
        <f>H11/D11</f>
        <v>0.68759746512763276</v>
      </c>
      <c r="J11" s="276">
        <f>H11/E11</f>
        <v>0.64351408916710862</v>
      </c>
      <c r="K11" s="328"/>
      <c r="L11" s="328"/>
      <c r="M11" s="271"/>
      <c r="N11" s="271"/>
    </row>
    <row r="12" spans="1:14" ht="20.25" customHeight="1" x14ac:dyDescent="0.25">
      <c r="A12" s="149" t="s">
        <v>426</v>
      </c>
      <c r="B12" s="150" t="s">
        <v>11</v>
      </c>
      <c r="C12" s="151" t="s">
        <v>443</v>
      </c>
      <c r="D12" s="152">
        <f>SUM(D13+D14+D18+D19)</f>
        <v>392981073389.67004</v>
      </c>
      <c r="E12" s="152">
        <f>SUM(E13+E14+E18+E19)</f>
        <v>443564990245</v>
      </c>
      <c r="F12" s="152">
        <f t="shared" ref="F12:H12" si="1">SUM(F13+F14+F18+F19)</f>
        <v>307420128470.95001</v>
      </c>
      <c r="G12" s="152">
        <f t="shared" si="1"/>
        <v>39568164592.18</v>
      </c>
      <c r="H12" s="152">
        <f t="shared" si="1"/>
        <v>346988293063.13</v>
      </c>
      <c r="I12" s="375">
        <f>H12/D12</f>
        <v>0.8829643882596484</v>
      </c>
      <c r="J12" s="243">
        <f t="shared" ref="J12:J36" si="2">H12/E12</f>
        <v>0.78227159648346789</v>
      </c>
      <c r="K12" s="329"/>
      <c r="L12" s="329"/>
      <c r="M12" s="329"/>
    </row>
    <row r="13" spans="1:14" ht="20.25" customHeight="1" x14ac:dyDescent="0.25">
      <c r="A13" s="319" t="s">
        <v>19</v>
      </c>
      <c r="B13" s="256" t="s">
        <v>345</v>
      </c>
      <c r="C13" s="265" t="s">
        <v>264</v>
      </c>
      <c r="D13" s="258">
        <v>197002700000</v>
      </c>
      <c r="E13" s="258">
        <f>'Realisasi Agustus'!E13</f>
        <v>222013986230</v>
      </c>
      <c r="F13" s="258">
        <f>'Rkp Juli'!G13</f>
        <v>166422888766.35999</v>
      </c>
      <c r="G13" s="258">
        <f>'Realisasi Agustus'!G13</f>
        <v>24351771150</v>
      </c>
      <c r="H13" s="258">
        <f>F13+G13</f>
        <v>190774659916.35999</v>
      </c>
      <c r="I13" s="376">
        <f t="shared" ref="I13:I35" si="3">H13/D13</f>
        <v>0.96838601661987367</v>
      </c>
      <c r="J13" s="259">
        <f t="shared" si="2"/>
        <v>0.85929117870404348</v>
      </c>
      <c r="K13" s="329"/>
      <c r="L13" s="271"/>
      <c r="N13" s="90"/>
    </row>
    <row r="14" spans="1:14" ht="20.25" customHeight="1" x14ac:dyDescent="0.25">
      <c r="A14" s="320" t="s">
        <v>39</v>
      </c>
      <c r="B14" s="266" t="s">
        <v>346</v>
      </c>
      <c r="C14" s="267" t="s">
        <v>265</v>
      </c>
      <c r="D14" s="268">
        <f>SUM(D15:D17)</f>
        <v>47985440000</v>
      </c>
      <c r="E14" s="268">
        <f>SUM(E15:E17)</f>
        <v>47975490000</v>
      </c>
      <c r="F14" s="258">
        <f>'Rkp Juli'!G14</f>
        <v>15406769683.17</v>
      </c>
      <c r="G14" s="268">
        <f t="shared" ref="G14:H14" si="4">SUM(G15:G17)</f>
        <v>3399294564</v>
      </c>
      <c r="H14" s="268">
        <f t="shared" si="4"/>
        <v>18806064247.169998</v>
      </c>
      <c r="I14" s="377">
        <f t="shared" si="3"/>
        <v>0.39191188508785163</v>
      </c>
      <c r="J14" s="261">
        <f t="shared" si="2"/>
        <v>0.39199316666010076</v>
      </c>
      <c r="K14" s="329"/>
      <c r="L14" s="271"/>
      <c r="N14" s="90"/>
    </row>
    <row r="15" spans="1:14" ht="20.25" customHeight="1" x14ac:dyDescent="0.25">
      <c r="A15" s="321"/>
      <c r="B15" s="86" t="s">
        <v>288</v>
      </c>
      <c r="C15" s="87" t="s">
        <v>55</v>
      </c>
      <c r="D15" s="88">
        <v>4579475000</v>
      </c>
      <c r="E15" s="173">
        <f>'Realisasi Agustus'!E30+'Realisasi Agustus'!E58+'Realisasi Agustus'!E63+'Realisasi Agustus'!E97</f>
        <v>4579475000</v>
      </c>
      <c r="F15" s="173">
        <f>'Rkp Juli'!G15</f>
        <v>1123779750</v>
      </c>
      <c r="G15" s="88">
        <f>'Realisasi Agustus'!G30+'Realisasi Agustus'!G58+'Realisasi Agustus'!G63+'Realisasi Agustus'!G97</f>
        <v>140764900</v>
      </c>
      <c r="H15" s="88">
        <f>F15+G15</f>
        <v>1264544650</v>
      </c>
      <c r="I15" s="378">
        <f t="shared" si="3"/>
        <v>0.27613310477729436</v>
      </c>
      <c r="J15" s="248">
        <f t="shared" si="2"/>
        <v>0.27613310477729436</v>
      </c>
      <c r="K15" s="329"/>
      <c r="N15" s="90"/>
    </row>
    <row r="16" spans="1:14" ht="20.25" customHeight="1" x14ac:dyDescent="0.25">
      <c r="A16" s="321"/>
      <c r="B16" s="86" t="s">
        <v>285</v>
      </c>
      <c r="C16" s="87" t="s">
        <v>444</v>
      </c>
      <c r="D16" s="88">
        <v>28403965000</v>
      </c>
      <c r="E16" s="173">
        <f>'Realisasi Agustus'!E44+'Realisasi Agustus'!E53+'Realisasi Agustus'!E68+'Realisasi Agustus'!E80+'Realisasi Agustus'!E92</f>
        <v>28403965000</v>
      </c>
      <c r="F16" s="173">
        <f>'Rkp Juli'!G16</f>
        <v>12724915250</v>
      </c>
      <c r="G16" s="88">
        <f>'Realisasi Agustus'!G44+'Realisasi Agustus'!G53+'Realisasi Agustus'!G68+'Realisasi Agustus'!G80+'Realisasi Agustus'!G92</f>
        <v>2199636600</v>
      </c>
      <c r="H16" s="88">
        <f t="shared" ref="H16:H17" si="5">F16+G16</f>
        <v>14924551850</v>
      </c>
      <c r="I16" s="378">
        <f t="shared" si="3"/>
        <v>0.5254390311352658</v>
      </c>
      <c r="J16" s="248">
        <f t="shared" si="2"/>
        <v>0.5254390311352658</v>
      </c>
      <c r="K16" s="329"/>
      <c r="N16" s="90"/>
    </row>
    <row r="17" spans="1:14" ht="20.25" customHeight="1" x14ac:dyDescent="0.25">
      <c r="A17" s="321"/>
      <c r="B17" s="86" t="s">
        <v>298</v>
      </c>
      <c r="C17" s="87" t="s">
        <v>60</v>
      </c>
      <c r="D17" s="88">
        <v>15002000000</v>
      </c>
      <c r="E17" s="173">
        <f>'Realisasi Agustus'!E50+'Realisasi Agustus'!E75+'Realisasi Agustus'!E85</f>
        <v>14992050000</v>
      </c>
      <c r="F17" s="173">
        <f>'Rkp Juli'!G17</f>
        <v>1558074683.1700001</v>
      </c>
      <c r="G17" s="88">
        <f>'Realisasi Agustus'!G37+'Realisasi Agustus'!G50+'Realisasi Agustus'!G75</f>
        <v>1058893064</v>
      </c>
      <c r="H17" s="88">
        <f t="shared" si="5"/>
        <v>2616967747.1700001</v>
      </c>
      <c r="I17" s="378">
        <f t="shared" si="3"/>
        <v>0.17444125764364751</v>
      </c>
      <c r="J17" s="248">
        <f t="shared" si="2"/>
        <v>0.17455703170480355</v>
      </c>
      <c r="K17" s="329"/>
      <c r="N17" s="90"/>
    </row>
    <row r="18" spans="1:14" ht="31.5" customHeight="1" x14ac:dyDescent="0.25">
      <c r="A18" s="320" t="s">
        <v>46</v>
      </c>
      <c r="B18" s="256" t="s">
        <v>347</v>
      </c>
      <c r="C18" s="257" t="s">
        <v>266</v>
      </c>
      <c r="D18" s="258">
        <v>1663748323.6700001</v>
      </c>
      <c r="E18" s="258">
        <f>'Realisasi Agustus'!E101</f>
        <v>1663748324</v>
      </c>
      <c r="F18" s="258">
        <f>'Rkp Juli'!G18</f>
        <v>1079761191</v>
      </c>
      <c r="G18" s="258">
        <f>'Realisasi Agustus'!G101</f>
        <v>0</v>
      </c>
      <c r="H18" s="260">
        <f t="shared" ref="H18:H19" si="6">F18+G18</f>
        <v>1079761191</v>
      </c>
      <c r="I18" s="376">
        <f t="shared" si="3"/>
        <v>0.64899310529022514</v>
      </c>
      <c r="J18" s="261">
        <f t="shared" si="2"/>
        <v>0.64899310516149922</v>
      </c>
      <c r="K18" s="329"/>
      <c r="N18" s="90"/>
    </row>
    <row r="19" spans="1:14" ht="20.25" customHeight="1" x14ac:dyDescent="0.25">
      <c r="A19" s="322" t="s">
        <v>8</v>
      </c>
      <c r="B19" s="266" t="s">
        <v>348</v>
      </c>
      <c r="C19" s="267" t="s">
        <v>96</v>
      </c>
      <c r="D19" s="268">
        <v>146329185066</v>
      </c>
      <c r="E19" s="371">
        <f>'Realisasi Agustus'!E107</f>
        <v>171911765691</v>
      </c>
      <c r="F19" s="258">
        <f>'Rkp Juli'!G19</f>
        <v>124510708830.42001</v>
      </c>
      <c r="G19" s="268">
        <f>'Realisasi Agustus'!G107</f>
        <v>11817098878.18</v>
      </c>
      <c r="H19" s="260">
        <f t="shared" si="6"/>
        <v>136327807708.60001</v>
      </c>
      <c r="I19" s="377">
        <f t="shared" si="3"/>
        <v>0.93165152014692765</v>
      </c>
      <c r="J19" s="269">
        <f t="shared" si="2"/>
        <v>0.79301033969740153</v>
      </c>
      <c r="K19" s="329"/>
      <c r="N19" s="90"/>
    </row>
    <row r="20" spans="1:14" ht="20.25" customHeight="1" x14ac:dyDescent="0.25">
      <c r="A20" s="149" t="s">
        <v>163</v>
      </c>
      <c r="B20" s="150" t="s">
        <v>164</v>
      </c>
      <c r="C20" s="151" t="s">
        <v>268</v>
      </c>
      <c r="D20" s="155">
        <f>SUM(D21+D28)</f>
        <v>885089671064</v>
      </c>
      <c r="E20" s="155">
        <f>SUM(E21+E28)</f>
        <v>922058884871</v>
      </c>
      <c r="F20" s="155">
        <f t="shared" ref="F20:H20" si="7">SUM(F21+F28)</f>
        <v>467112992857</v>
      </c>
      <c r="G20" s="155">
        <f>SUM(G21+G28)</f>
        <v>64696918220</v>
      </c>
      <c r="H20" s="155">
        <f t="shared" si="7"/>
        <v>531809911077</v>
      </c>
      <c r="I20" s="375">
        <f t="shared" si="3"/>
        <v>0.60085427325989582</v>
      </c>
      <c r="J20" s="243">
        <f t="shared" si="2"/>
        <v>0.57676350155381073</v>
      </c>
      <c r="L20" s="271"/>
    </row>
    <row r="21" spans="1:14" ht="20.25" customHeight="1" x14ac:dyDescent="0.25">
      <c r="A21" s="156" t="s">
        <v>416</v>
      </c>
      <c r="B21" s="157" t="s">
        <v>350</v>
      </c>
      <c r="C21" s="158" t="s">
        <v>351</v>
      </c>
      <c r="D21" s="159">
        <f>SUM(D22+D27)</f>
        <v>769394341983</v>
      </c>
      <c r="E21" s="159">
        <f>SUM(E22+E27)</f>
        <v>776554228983</v>
      </c>
      <c r="F21" s="159">
        <f t="shared" ref="F21:H21" si="8">SUM(F22+F27)</f>
        <v>402685108190</v>
      </c>
      <c r="G21" s="159">
        <f t="shared" si="8"/>
        <v>55387934456</v>
      </c>
      <c r="H21" s="159">
        <f t="shared" si="8"/>
        <v>458073042646</v>
      </c>
      <c r="I21" s="379">
        <f t="shared" si="3"/>
        <v>0.59536835358755635</v>
      </c>
      <c r="J21" s="246">
        <f t="shared" si="2"/>
        <v>0.58987901366000794</v>
      </c>
      <c r="L21" s="271"/>
    </row>
    <row r="22" spans="1:14" ht="20.25" customHeight="1" x14ac:dyDescent="0.25">
      <c r="A22" s="160" t="s">
        <v>89</v>
      </c>
      <c r="B22" s="161" t="s">
        <v>352</v>
      </c>
      <c r="C22" s="162" t="s">
        <v>435</v>
      </c>
      <c r="D22" s="163">
        <f>SUM(D23:D26)</f>
        <v>769394341983</v>
      </c>
      <c r="E22" s="163">
        <f>SUM(E23:E26)</f>
        <v>776554228983</v>
      </c>
      <c r="F22" s="163">
        <f t="shared" ref="F22:H22" si="9">SUM(F23:F26)</f>
        <v>402685108190</v>
      </c>
      <c r="G22" s="163">
        <f>SUM(G23:G26)</f>
        <v>55387934456</v>
      </c>
      <c r="H22" s="163">
        <f t="shared" si="9"/>
        <v>458073042646</v>
      </c>
      <c r="I22" s="380">
        <f t="shared" si="3"/>
        <v>0.59536835358755635</v>
      </c>
      <c r="J22" s="247">
        <f t="shared" si="2"/>
        <v>0.58987901366000794</v>
      </c>
    </row>
    <row r="23" spans="1:14" ht="20.25" customHeight="1" x14ac:dyDescent="0.25">
      <c r="A23" s="323" t="s">
        <v>13</v>
      </c>
      <c r="B23" s="147" t="s">
        <v>353</v>
      </c>
      <c r="C23" s="148" t="s">
        <v>354</v>
      </c>
      <c r="D23" s="173">
        <v>154499794000</v>
      </c>
      <c r="E23" s="173">
        <f>'Realisasi Agustus'!E234</f>
        <v>162373681000</v>
      </c>
      <c r="F23" s="173">
        <f>'Rkp Juli'!G23</f>
        <v>64990433740</v>
      </c>
      <c r="G23" s="173">
        <f>'Realisasi Agustus'!G234</f>
        <v>2305274350</v>
      </c>
      <c r="H23" s="173">
        <f>F23+G23</f>
        <v>67295708090</v>
      </c>
      <c r="I23" s="381">
        <f t="shared" si="3"/>
        <v>0.43557150691087654</v>
      </c>
      <c r="J23" s="244">
        <f t="shared" si="2"/>
        <v>0.41444960584468121</v>
      </c>
      <c r="L23" s="271"/>
    </row>
    <row r="24" spans="1:14" ht="20.25" customHeight="1" x14ac:dyDescent="0.25">
      <c r="A24" s="85" t="s">
        <v>16</v>
      </c>
      <c r="B24" s="86" t="s">
        <v>368</v>
      </c>
      <c r="C24" s="87" t="s">
        <v>436</v>
      </c>
      <c r="D24" s="88">
        <v>429554051000</v>
      </c>
      <c r="E24" s="173">
        <f>'Realisasi Agustus'!E301</f>
        <v>429554051000</v>
      </c>
      <c r="F24" s="173">
        <f>'Rkp Juli'!G24</f>
        <v>284557566138</v>
      </c>
      <c r="G24" s="88">
        <f>'Realisasi Agustus'!G301</f>
        <v>35796170000</v>
      </c>
      <c r="H24" s="173">
        <f t="shared" ref="H24:H26" si="10">F24+G24</f>
        <v>320353736138</v>
      </c>
      <c r="I24" s="89">
        <f t="shared" si="3"/>
        <v>0.74578213240503233</v>
      </c>
      <c r="J24" s="248">
        <f t="shared" si="2"/>
        <v>0.74578213240503233</v>
      </c>
    </row>
    <row r="25" spans="1:14" ht="20.25" customHeight="1" x14ac:dyDescent="0.25">
      <c r="A25" s="85" t="s">
        <v>86</v>
      </c>
      <c r="B25" s="86" t="s">
        <v>370</v>
      </c>
      <c r="C25" s="87" t="s">
        <v>437</v>
      </c>
      <c r="D25" s="88">
        <v>63435068973</v>
      </c>
      <c r="E25" s="173">
        <f>'Realisasi Agustus'!E303</f>
        <v>62721068973</v>
      </c>
      <c r="F25" s="173">
        <f>'Rkp Juli'!G25</f>
        <v>19549322245</v>
      </c>
      <c r="G25" s="88">
        <f>'Realisasi Agustus'!G305</f>
        <v>17286490106</v>
      </c>
      <c r="H25" s="173">
        <f>F25+G25</f>
        <v>36835812351</v>
      </c>
      <c r="I25" s="89">
        <f t="shared" si="3"/>
        <v>0.58068530463297052</v>
      </c>
      <c r="J25" s="248">
        <f t="shared" si="2"/>
        <v>0.58729567199910104</v>
      </c>
      <c r="L25" s="271"/>
    </row>
    <row r="26" spans="1:14" ht="20.25" customHeight="1" x14ac:dyDescent="0.25">
      <c r="A26" s="91" t="s">
        <v>95</v>
      </c>
      <c r="B26" s="153" t="s">
        <v>384</v>
      </c>
      <c r="C26" s="154" t="s">
        <v>438</v>
      </c>
      <c r="D26" s="174">
        <v>121905428010</v>
      </c>
      <c r="E26" s="372">
        <f>'Realisasi Agustus'!E373</f>
        <v>121905428010</v>
      </c>
      <c r="F26" s="173">
        <f>'Rkp Juli'!G26</f>
        <v>33587786067</v>
      </c>
      <c r="G26" s="174">
        <f>'Realisasi Agustus'!G373</f>
        <v>0</v>
      </c>
      <c r="H26" s="173">
        <f t="shared" si="10"/>
        <v>33587786067</v>
      </c>
      <c r="I26" s="378">
        <f t="shared" si="3"/>
        <v>0.27552330208171505</v>
      </c>
      <c r="J26" s="248">
        <f t="shared" si="2"/>
        <v>0.27552330208171505</v>
      </c>
    </row>
    <row r="27" spans="1:14" ht="20.25" hidden="1" customHeight="1" x14ac:dyDescent="0.25">
      <c r="A27" s="160" t="s">
        <v>91</v>
      </c>
      <c r="B27" s="161" t="s">
        <v>396</v>
      </c>
      <c r="C27" s="162" t="s">
        <v>439</v>
      </c>
      <c r="D27" s="163">
        <v>0</v>
      </c>
      <c r="E27" s="163"/>
      <c r="F27" s="163">
        <f>'Rkp April'!G27</f>
        <v>0</v>
      </c>
      <c r="G27" s="163">
        <f>'Realisasi Januari'!F408</f>
        <v>0</v>
      </c>
      <c r="H27" s="163">
        <f>F27+G27</f>
        <v>0</v>
      </c>
      <c r="I27" s="380" t="e">
        <f t="shared" si="3"/>
        <v>#DIV/0!</v>
      </c>
      <c r="J27" s="245" t="e">
        <f t="shared" si="2"/>
        <v>#DIV/0!</v>
      </c>
    </row>
    <row r="28" spans="1:14" ht="20.25" customHeight="1" x14ac:dyDescent="0.25">
      <c r="A28" s="156" t="s">
        <v>440</v>
      </c>
      <c r="B28" s="157" t="s">
        <v>398</v>
      </c>
      <c r="C28" s="158" t="s">
        <v>399</v>
      </c>
      <c r="D28" s="159">
        <f>SUM(D29:D30)</f>
        <v>115695329081</v>
      </c>
      <c r="E28" s="159">
        <f>SUM(E29:E30)</f>
        <v>145504655888</v>
      </c>
      <c r="F28" s="159">
        <f t="shared" ref="F28:G28" si="11">SUM(F29:F30)</f>
        <v>64427884667</v>
      </c>
      <c r="G28" s="159">
        <f t="shared" si="11"/>
        <v>9308983764</v>
      </c>
      <c r="H28" s="159">
        <f>F28+G28</f>
        <v>73736868431</v>
      </c>
      <c r="I28" s="379">
        <f t="shared" si="3"/>
        <v>0.63733660655717339</v>
      </c>
      <c r="J28" s="246">
        <f t="shared" si="2"/>
        <v>0.50676638476611935</v>
      </c>
    </row>
    <row r="29" spans="1:14" ht="20.25" customHeight="1" x14ac:dyDescent="0.25">
      <c r="A29" s="323" t="s">
        <v>89</v>
      </c>
      <c r="B29" s="147" t="s">
        <v>400</v>
      </c>
      <c r="C29" s="148" t="s">
        <v>403</v>
      </c>
      <c r="D29" s="173">
        <v>105229329081</v>
      </c>
      <c r="E29" s="173">
        <f>'Realisasi Agustus'!E426</f>
        <v>135038655888</v>
      </c>
      <c r="F29" s="173">
        <f>'Rkp Juli'!G28</f>
        <v>61343884667</v>
      </c>
      <c r="G29" s="173">
        <f>'Realisasi Agustus'!G426</f>
        <v>6776983764</v>
      </c>
      <c r="H29" s="173">
        <f>F29+G29</f>
        <v>68120868431</v>
      </c>
      <c r="I29" s="381">
        <f t="shared" si="3"/>
        <v>0.64735629340147305</v>
      </c>
      <c r="J29" s="244">
        <f t="shared" si="2"/>
        <v>0.50445457993523657</v>
      </c>
    </row>
    <row r="30" spans="1:14" ht="20.25" customHeight="1" x14ac:dyDescent="0.25">
      <c r="A30" s="91" t="s">
        <v>91</v>
      </c>
      <c r="B30" s="153" t="s">
        <v>425</v>
      </c>
      <c r="C30" s="154" t="s">
        <v>427</v>
      </c>
      <c r="D30" s="174">
        <v>10466000000</v>
      </c>
      <c r="E30" s="372">
        <f>'Realisasi Agustus'!E439</f>
        <v>10466000000</v>
      </c>
      <c r="F30" s="173">
        <f>'Rkp Juli'!G29</f>
        <v>3084000000</v>
      </c>
      <c r="G30" s="174">
        <f>'Realisasi Agustus'!G439</f>
        <v>2532000000</v>
      </c>
      <c r="H30" s="173">
        <f>F30+G30</f>
        <v>5616000000</v>
      </c>
      <c r="I30" s="381">
        <f t="shared" si="3"/>
        <v>0.53659468755971718</v>
      </c>
      <c r="J30" s="245">
        <f t="shared" si="2"/>
        <v>0.53659468755971718</v>
      </c>
    </row>
    <row r="31" spans="1:14" ht="20.25" customHeight="1" x14ac:dyDescent="0.25">
      <c r="A31" s="149" t="s">
        <v>241</v>
      </c>
      <c r="B31" s="150" t="s">
        <v>242</v>
      </c>
      <c r="C31" s="151" t="s">
        <v>243</v>
      </c>
      <c r="D31" s="155">
        <f t="shared" ref="D31:H33" si="12">D32</f>
        <v>0</v>
      </c>
      <c r="E31" s="155"/>
      <c r="F31" s="155">
        <f t="shared" si="12"/>
        <v>0</v>
      </c>
      <c r="G31" s="155">
        <f t="shared" si="12"/>
        <v>0</v>
      </c>
      <c r="H31" s="155">
        <f t="shared" si="12"/>
        <v>0</v>
      </c>
      <c r="I31" s="375" t="e">
        <f t="shared" si="3"/>
        <v>#DIV/0!</v>
      </c>
      <c r="J31" s="243" t="e">
        <f t="shared" si="2"/>
        <v>#DIV/0!</v>
      </c>
    </row>
    <row r="32" spans="1:14" ht="34.5" customHeight="1" x14ac:dyDescent="0.25">
      <c r="A32" s="84"/>
      <c r="B32" s="147" t="s">
        <v>418</v>
      </c>
      <c r="C32" s="250" t="s">
        <v>441</v>
      </c>
      <c r="D32" s="258">
        <f>D33</f>
        <v>0</v>
      </c>
      <c r="E32" s="258"/>
      <c r="F32" s="173"/>
      <c r="G32" s="173">
        <f>G33</f>
        <v>0</v>
      </c>
      <c r="H32" s="173">
        <f>F32+G32</f>
        <v>0</v>
      </c>
      <c r="I32" s="376" t="e">
        <f t="shared" si="3"/>
        <v>#DIV/0!</v>
      </c>
      <c r="J32" s="259" t="e">
        <f t="shared" si="2"/>
        <v>#DIV/0!</v>
      </c>
    </row>
    <row r="33" spans="1:11" ht="20.25" customHeight="1" x14ac:dyDescent="0.25">
      <c r="A33" s="85"/>
      <c r="B33" s="86" t="s">
        <v>420</v>
      </c>
      <c r="C33" s="87" t="s">
        <v>442</v>
      </c>
      <c r="D33" s="260">
        <f t="shared" si="12"/>
        <v>0</v>
      </c>
      <c r="E33" s="258"/>
      <c r="F33" s="173"/>
      <c r="G33" s="88">
        <f>'Realisasi Agustus'!G452</f>
        <v>0</v>
      </c>
      <c r="H33" s="173">
        <f t="shared" ref="H33" si="13">F33+G33</f>
        <v>0</v>
      </c>
      <c r="I33" s="382" t="e">
        <f t="shared" si="3"/>
        <v>#DIV/0!</v>
      </c>
      <c r="J33" s="261" t="e">
        <f t="shared" si="2"/>
        <v>#DIV/0!</v>
      </c>
    </row>
    <row r="34" spans="1:11" ht="20.25" customHeight="1" x14ac:dyDescent="0.25">
      <c r="A34" s="91" t="s">
        <v>89</v>
      </c>
      <c r="B34" s="86" t="s">
        <v>422</v>
      </c>
      <c r="C34" s="87" t="s">
        <v>423</v>
      </c>
      <c r="D34" s="164">
        <v>0</v>
      </c>
      <c r="E34" s="373"/>
      <c r="F34" s="173">
        <f>'Rkp April'!G34</f>
        <v>0</v>
      </c>
      <c r="G34" s="174">
        <f>'Realisasi Januari'!F439</f>
        <v>0</v>
      </c>
      <c r="H34" s="173">
        <f>G34</f>
        <v>0</v>
      </c>
      <c r="I34" s="89" t="e">
        <f t="shared" si="3"/>
        <v>#DIV/0!</v>
      </c>
      <c r="J34" s="248" t="e">
        <f t="shared" si="2"/>
        <v>#DIV/0!</v>
      </c>
    </row>
    <row r="35" spans="1:11" ht="20.25" customHeight="1" thickBot="1" x14ac:dyDescent="0.3">
      <c r="A35" s="91" t="s">
        <v>91</v>
      </c>
      <c r="B35" s="86" t="s">
        <v>618</v>
      </c>
      <c r="C35" s="87" t="s">
        <v>620</v>
      </c>
      <c r="D35" s="164">
        <v>0</v>
      </c>
      <c r="E35" s="373"/>
      <c r="F35" s="173">
        <f>'Rkp April'!G35</f>
        <v>0</v>
      </c>
      <c r="G35" s="174"/>
      <c r="H35" s="173">
        <f>G35</f>
        <v>0</v>
      </c>
      <c r="I35" s="383" t="e">
        <f t="shared" si="3"/>
        <v>#DIV/0!</v>
      </c>
      <c r="J35" s="245"/>
    </row>
    <row r="36" spans="1:11" s="82" customFormat="1" ht="21.75" customHeight="1" thickBot="1" x14ac:dyDescent="0.3">
      <c r="A36" s="143"/>
      <c r="B36" s="144"/>
      <c r="C36" s="145" t="s">
        <v>472</v>
      </c>
      <c r="D36" s="146">
        <f>SUM(D12+D20+D31)</f>
        <v>1278070744453.6699</v>
      </c>
      <c r="E36" s="146">
        <f>SUM(E12+E20+E31)</f>
        <v>1365623875116</v>
      </c>
      <c r="F36" s="146">
        <f t="shared" ref="F36:H36" si="14">SUM(F12+F20+F31)</f>
        <v>774533121327.94995</v>
      </c>
      <c r="G36" s="146">
        <f t="shared" si="14"/>
        <v>104265082812.17999</v>
      </c>
      <c r="H36" s="146">
        <f t="shared" si="14"/>
        <v>878798204140.13</v>
      </c>
      <c r="I36" s="384">
        <f>H36/D36</f>
        <v>0.68759746512763276</v>
      </c>
      <c r="J36" s="249">
        <f t="shared" si="2"/>
        <v>0.64351408916710862</v>
      </c>
      <c r="K36" s="274"/>
    </row>
    <row r="37" spans="1:11" ht="20.25" hidden="1" customHeight="1" x14ac:dyDescent="0.25">
      <c r="A37" s="92" t="s">
        <v>95</v>
      </c>
      <c r="B37" s="93" t="s">
        <v>46</v>
      </c>
      <c r="C37" s="94" t="s">
        <v>251</v>
      </c>
      <c r="D37" s="95">
        <v>102132456348.7</v>
      </c>
      <c r="E37" s="173"/>
      <c r="F37" s="173"/>
      <c r="G37" s="88" t="e">
        <f>D37-#REF!</f>
        <v>#REF!</v>
      </c>
      <c r="H37" s="173"/>
      <c r="I37" s="96" t="e">
        <f>SUM(G37/#REF!)</f>
        <v>#REF!</v>
      </c>
    </row>
    <row r="38" spans="1:11" ht="20.25" hidden="1" customHeight="1" x14ac:dyDescent="0.25">
      <c r="A38" s="85"/>
      <c r="B38" s="97" t="s">
        <v>252</v>
      </c>
      <c r="C38" s="98" t="s">
        <v>253</v>
      </c>
      <c r="D38" s="88">
        <v>102132456348.7</v>
      </c>
      <c r="E38" s="88"/>
      <c r="F38" s="88"/>
      <c r="G38" s="88" t="e">
        <f>D38-#REF!</f>
        <v>#REF!</v>
      </c>
      <c r="H38" s="88"/>
      <c r="I38" s="89" t="e">
        <f>SUM(G38/#REF!)</f>
        <v>#REF!</v>
      </c>
    </row>
    <row r="39" spans="1:11" ht="20.25" hidden="1" customHeight="1" x14ac:dyDescent="0.25">
      <c r="A39" s="85"/>
      <c r="B39" s="99" t="s">
        <v>254</v>
      </c>
      <c r="C39" s="100" t="s">
        <v>255</v>
      </c>
      <c r="D39" s="88">
        <v>95076456348.699997</v>
      </c>
      <c r="E39" s="88"/>
      <c r="F39" s="88"/>
      <c r="G39" s="88" t="e">
        <f>D39-#REF!</f>
        <v>#REF!</v>
      </c>
      <c r="H39" s="88"/>
      <c r="I39" s="89" t="e">
        <f>SUM(G39/#REF!)</f>
        <v>#REF!</v>
      </c>
    </row>
    <row r="40" spans="1:11" ht="20.25" hidden="1" customHeight="1" x14ac:dyDescent="0.25">
      <c r="A40" s="85"/>
      <c r="B40" s="99" t="s">
        <v>256</v>
      </c>
      <c r="C40" s="100" t="s">
        <v>257</v>
      </c>
      <c r="D40" s="88">
        <v>7056000000</v>
      </c>
      <c r="E40" s="88"/>
      <c r="F40" s="88"/>
      <c r="G40" s="88" t="e">
        <f>D40-#REF!</f>
        <v>#REF!</v>
      </c>
      <c r="H40" s="88"/>
      <c r="I40" s="89">
        <v>1</v>
      </c>
    </row>
    <row r="41" spans="1:11" ht="20.25" hidden="1" customHeight="1" x14ac:dyDescent="0.25">
      <c r="A41" s="101"/>
      <c r="B41" s="102" t="s">
        <v>258</v>
      </c>
      <c r="C41" s="103" t="s">
        <v>259</v>
      </c>
      <c r="D41" s="104">
        <v>7056000000</v>
      </c>
      <c r="E41" s="174"/>
      <c r="F41" s="174"/>
      <c r="G41" s="88" t="e">
        <f>D41-#REF!</f>
        <v>#REF!</v>
      </c>
      <c r="H41" s="174"/>
      <c r="I41" s="105">
        <v>1</v>
      </c>
    </row>
    <row r="42" spans="1:11" ht="26.25" hidden="1" customHeight="1" x14ac:dyDescent="0.25">
      <c r="A42" s="450" t="s">
        <v>263</v>
      </c>
      <c r="B42" s="451"/>
      <c r="C42" s="451"/>
      <c r="D42" s="106">
        <f>SUM(D37+D36)</f>
        <v>1380203200802.3699</v>
      </c>
      <c r="E42" s="106"/>
      <c r="F42" s="106"/>
      <c r="G42" s="106" t="e">
        <f>SUM(G37+G36)</f>
        <v>#REF!</v>
      </c>
      <c r="H42" s="106"/>
      <c r="I42" s="107" t="e">
        <f>SUM(G42/#REF!)</f>
        <v>#REF!</v>
      </c>
    </row>
    <row r="43" spans="1:11" ht="26.25" customHeight="1" x14ac:dyDescent="0.25">
      <c r="A43" s="108"/>
      <c r="B43" s="198"/>
      <c r="C43" s="197"/>
      <c r="D43" s="110"/>
      <c r="E43" s="110"/>
      <c r="F43" s="110"/>
      <c r="G43" s="110"/>
      <c r="H43" s="110"/>
      <c r="I43" s="111"/>
    </row>
    <row r="44" spans="1:11" ht="21" customHeight="1" x14ac:dyDescent="0.25">
      <c r="A44" s="324"/>
      <c r="B44" s="339"/>
      <c r="C44" s="109"/>
      <c r="D44" s="112"/>
      <c r="E44" s="112"/>
      <c r="F44" s="112"/>
      <c r="G44" s="291"/>
      <c r="H44" s="291" t="s">
        <v>702</v>
      </c>
      <c r="I44" s="113"/>
    </row>
    <row r="45" spans="1:11" ht="18" x14ac:dyDescent="0.25">
      <c r="A45" s="324"/>
      <c r="B45" s="339"/>
      <c r="C45" s="109"/>
      <c r="D45" s="114"/>
      <c r="E45" s="114"/>
      <c r="F45" s="114"/>
      <c r="G45" s="291"/>
      <c r="H45" s="291" t="s">
        <v>630</v>
      </c>
      <c r="I45" s="255"/>
    </row>
    <row r="46" spans="1:11" ht="21" customHeight="1" x14ac:dyDescent="0.25">
      <c r="B46" s="339"/>
      <c r="C46" s="109"/>
      <c r="D46" s="114"/>
      <c r="E46" s="114"/>
      <c r="F46" s="114"/>
      <c r="G46" s="291"/>
      <c r="H46" s="291"/>
      <c r="I46" s="255"/>
    </row>
    <row r="47" spans="1:11" ht="15.75" customHeight="1" x14ac:dyDescent="0.25">
      <c r="B47" s="339"/>
      <c r="C47" s="109"/>
      <c r="D47" s="116"/>
      <c r="E47" s="116"/>
      <c r="F47" s="116"/>
      <c r="G47" s="291"/>
      <c r="H47" s="291"/>
      <c r="I47" s="117"/>
    </row>
    <row r="48" spans="1:11" ht="15.75" customHeight="1" x14ac:dyDescent="0.25">
      <c r="B48" s="339"/>
      <c r="C48" s="109"/>
      <c r="D48" s="116"/>
      <c r="E48" s="116"/>
      <c r="F48" s="116"/>
      <c r="G48" s="291"/>
      <c r="H48" s="291"/>
      <c r="I48" s="117"/>
    </row>
    <row r="49" spans="2:9" ht="15.75" customHeight="1" x14ac:dyDescent="0.25">
      <c r="B49" s="339"/>
      <c r="C49" s="109" t="s">
        <v>267</v>
      </c>
      <c r="D49" s="116"/>
      <c r="E49" s="116"/>
      <c r="F49" s="116"/>
      <c r="G49" s="292"/>
      <c r="H49" s="292" t="s">
        <v>579</v>
      </c>
      <c r="I49" s="117"/>
    </row>
    <row r="50" spans="2:9" ht="15.75" customHeight="1" x14ac:dyDescent="0.25">
      <c r="B50" s="339"/>
      <c r="C50" s="109"/>
      <c r="D50" s="116"/>
      <c r="E50" s="116"/>
      <c r="F50" s="116"/>
      <c r="G50" s="291"/>
      <c r="H50" s="291" t="s">
        <v>577</v>
      </c>
      <c r="I50" s="117"/>
    </row>
    <row r="51" spans="2:9" ht="22.5" customHeight="1" x14ac:dyDescent="0.25">
      <c r="C51" s="118"/>
      <c r="D51" s="119"/>
      <c r="E51" s="119"/>
      <c r="F51" s="119"/>
      <c r="G51" s="291"/>
      <c r="H51" s="291" t="s">
        <v>576</v>
      </c>
      <c r="I51" s="120"/>
    </row>
    <row r="52" spans="2:9" ht="20.25" customHeight="1" x14ac:dyDescent="0.25">
      <c r="C52" s="118"/>
      <c r="D52" s="112"/>
      <c r="E52" s="112"/>
      <c r="F52" s="112"/>
      <c r="G52" s="115"/>
      <c r="H52" s="115"/>
      <c r="I52" s="113"/>
    </row>
    <row r="53" spans="2:9" ht="13.15" customHeight="1" x14ac:dyDescent="0.25">
      <c r="C53" s="118"/>
      <c r="D53" s="112"/>
      <c r="E53" s="112"/>
      <c r="F53" s="112"/>
      <c r="I53" s="113"/>
    </row>
    <row r="54" spans="2:9" ht="13.15" customHeight="1" x14ac:dyDescent="0.25">
      <c r="C54" s="118"/>
      <c r="D54" s="112"/>
      <c r="E54" s="112"/>
      <c r="F54" s="112"/>
      <c r="G54" s="113"/>
      <c r="H54" s="113"/>
      <c r="I54" s="113"/>
    </row>
    <row r="55" spans="2:9" ht="13.15" customHeight="1" x14ac:dyDescent="0.25">
      <c r="C55" s="118"/>
      <c r="D55" s="112"/>
      <c r="E55" s="112"/>
      <c r="F55" s="112"/>
      <c r="G55" s="113"/>
      <c r="H55" s="113"/>
      <c r="I55" s="113"/>
    </row>
    <row r="56" spans="2:9" ht="13.15" customHeight="1" x14ac:dyDescent="0.25">
      <c r="C56" s="118"/>
      <c r="D56" s="118"/>
      <c r="E56" s="118"/>
      <c r="F56" s="118"/>
    </row>
    <row r="57" spans="2:9" ht="13.15" customHeight="1" x14ac:dyDescent="0.25">
      <c r="C57" s="118"/>
      <c r="D57" s="118"/>
      <c r="E57" s="118"/>
      <c r="F57" s="118"/>
    </row>
    <row r="58" spans="2:9" ht="13.15" customHeight="1" x14ac:dyDescent="0.25">
      <c r="C58" s="118"/>
      <c r="D58" s="118"/>
      <c r="E58" s="118"/>
      <c r="F58" s="118"/>
    </row>
    <row r="59" spans="2:9" ht="13.15" customHeight="1" x14ac:dyDescent="0.25">
      <c r="C59" s="118"/>
      <c r="D59" s="118"/>
      <c r="E59" s="118"/>
      <c r="F59" s="118"/>
    </row>
    <row r="60" spans="2:9" ht="13.15" customHeight="1" x14ac:dyDescent="0.25">
      <c r="C60" s="118"/>
      <c r="D60" s="118"/>
      <c r="E60" s="118"/>
      <c r="F60" s="118"/>
    </row>
    <row r="61" spans="2:9" ht="13.15" customHeight="1" x14ac:dyDescent="0.25">
      <c r="C61" s="118"/>
      <c r="D61" s="118"/>
      <c r="E61" s="118"/>
      <c r="F61" s="118"/>
    </row>
    <row r="62" spans="2:9" ht="13.15" customHeight="1" x14ac:dyDescent="0.25">
      <c r="C62" s="118"/>
      <c r="D62" s="118"/>
      <c r="E62" s="118"/>
      <c r="F62" s="118"/>
    </row>
  </sheetData>
  <mergeCells count="11">
    <mergeCell ref="G6:I6"/>
    <mergeCell ref="G7:I7"/>
    <mergeCell ref="A42:C42"/>
    <mergeCell ref="B2:D2"/>
    <mergeCell ref="B3:D3"/>
    <mergeCell ref="B4:D4"/>
    <mergeCell ref="B5:C5"/>
    <mergeCell ref="A8:A9"/>
    <mergeCell ref="B8:B9"/>
    <mergeCell ref="C8:C9"/>
    <mergeCell ref="F8:H8"/>
  </mergeCells>
  <printOptions horizontalCentered="1"/>
  <pageMargins left="0.6692913385826772" right="1.0236220472440944" top="0.54" bottom="0.27559055118110237" header="0.23622047244094491" footer="0.33"/>
  <pageSetup paperSize="10000" scale="6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480"/>
  <sheetViews>
    <sheetView zoomScale="70" zoomScaleNormal="70" workbookViewId="0">
      <pane ySplit="9" topLeftCell="A125" activePane="bottomLeft" state="frozen"/>
      <selection activeCell="I30" sqref="I30"/>
      <selection pane="bottomLeft" activeCell="F141" sqref="F141"/>
    </sheetView>
  </sheetViews>
  <sheetFormatPr defaultColWidth="9.28515625" defaultRowHeight="18" x14ac:dyDescent="0.25"/>
  <cols>
    <col min="1" max="1" width="7" style="4" customWidth="1"/>
    <col min="2" max="2" width="25.140625" style="4" customWidth="1"/>
    <col min="3" max="3" width="82.7109375" style="4" customWidth="1"/>
    <col min="4" max="6" width="28.42578125" style="175" customWidth="1"/>
    <col min="7" max="7" width="30.7109375" style="175" customWidth="1"/>
    <col min="8" max="8" width="16" style="175" customWidth="1"/>
    <col min="9" max="9" width="56.42578125" style="4" hidden="1" customWidth="1"/>
    <col min="10" max="10" width="31" style="175" bestFit="1" customWidth="1"/>
    <col min="11" max="12" width="28.28515625" style="4" bestFit="1" customWidth="1"/>
    <col min="13" max="13" width="26.28515625" style="4" customWidth="1"/>
    <col min="14" max="16384" width="9.28515625" style="4"/>
  </cols>
  <sheetData>
    <row r="1" spans="1:15" x14ac:dyDescent="0.25">
      <c r="A1" s="1"/>
      <c r="B1" s="1"/>
      <c r="C1" s="2"/>
      <c r="I1" s="3"/>
    </row>
    <row r="2" spans="1:15" ht="25.5" x14ac:dyDescent="0.25">
      <c r="A2" s="1"/>
      <c r="B2" s="444" t="s">
        <v>0</v>
      </c>
      <c r="C2" s="444"/>
      <c r="E2" s="5" t="s">
        <v>486</v>
      </c>
      <c r="I2" s="1"/>
      <c r="K2" s="5"/>
    </row>
    <row r="3" spans="1:15" x14ac:dyDescent="0.25">
      <c r="A3" s="1"/>
      <c r="B3" s="445" t="s">
        <v>480</v>
      </c>
      <c r="C3" s="445"/>
      <c r="E3" s="5" t="s">
        <v>631</v>
      </c>
      <c r="K3" s="5"/>
    </row>
    <row r="4" spans="1:15" x14ac:dyDescent="0.25">
      <c r="A4" s="1"/>
      <c r="B4" s="446" t="s">
        <v>481</v>
      </c>
      <c r="C4" s="446"/>
      <c r="E4" s="6" t="s">
        <v>694</v>
      </c>
      <c r="K4" s="6"/>
    </row>
    <row r="5" spans="1:15" ht="19.5" x14ac:dyDescent="0.25">
      <c r="A5" s="1"/>
      <c r="B5" s="447"/>
      <c r="C5" s="447"/>
      <c r="I5" s="1"/>
    </row>
    <row r="6" spans="1:15" ht="18.75" thickBot="1" x14ac:dyDescent="0.3">
      <c r="A6" s="1"/>
      <c r="B6" s="347"/>
      <c r="C6" s="347"/>
      <c r="D6" s="8"/>
      <c r="E6" s="8"/>
      <c r="F6" s="448"/>
      <c r="G6" s="448"/>
      <c r="H6" s="448"/>
      <c r="I6" s="7"/>
    </row>
    <row r="7" spans="1:15" s="10" customFormat="1" ht="29.25" customHeight="1" x14ac:dyDescent="0.25">
      <c r="A7" s="435" t="s">
        <v>2</v>
      </c>
      <c r="B7" s="437" t="s">
        <v>3</v>
      </c>
      <c r="C7" s="437" t="s">
        <v>4</v>
      </c>
      <c r="D7" s="202" t="s">
        <v>5</v>
      </c>
      <c r="E7" s="441" t="s">
        <v>475</v>
      </c>
      <c r="F7" s="441"/>
      <c r="G7" s="441"/>
      <c r="H7" s="439" t="s">
        <v>6</v>
      </c>
      <c r="I7" s="442" t="s">
        <v>7</v>
      </c>
      <c r="J7" s="9"/>
    </row>
    <row r="8" spans="1:15" s="10" customFormat="1" ht="29.25" customHeight="1" thickBot="1" x14ac:dyDescent="0.3">
      <c r="A8" s="436"/>
      <c r="B8" s="438"/>
      <c r="C8" s="438"/>
      <c r="D8" s="203" t="s">
        <v>697</v>
      </c>
      <c r="E8" s="204" t="s">
        <v>476</v>
      </c>
      <c r="F8" s="204" t="s">
        <v>477</v>
      </c>
      <c r="G8" s="204" t="s">
        <v>478</v>
      </c>
      <c r="H8" s="440"/>
      <c r="I8" s="443"/>
      <c r="J8" s="9"/>
    </row>
    <row r="9" spans="1:15" s="16" customFormat="1" ht="14.65" customHeight="1" x14ac:dyDescent="0.25">
      <c r="A9" s="11">
        <v>1</v>
      </c>
      <c r="B9" s="12">
        <v>2</v>
      </c>
      <c r="C9" s="13">
        <v>3</v>
      </c>
      <c r="D9" s="14">
        <v>4</v>
      </c>
      <c r="E9" s="14">
        <v>5</v>
      </c>
      <c r="F9" s="14">
        <v>6</v>
      </c>
      <c r="G9" s="15" t="s">
        <v>582</v>
      </c>
      <c r="H9" s="235" t="s">
        <v>583</v>
      </c>
      <c r="I9" s="205">
        <v>9</v>
      </c>
      <c r="J9" s="7"/>
    </row>
    <row r="10" spans="1:15" x14ac:dyDescent="0.25">
      <c r="A10" s="17"/>
      <c r="B10" s="18"/>
      <c r="C10" s="19"/>
      <c r="D10" s="20"/>
      <c r="E10" s="20"/>
      <c r="F10" s="20"/>
      <c r="G10" s="20"/>
      <c r="H10" s="21"/>
      <c r="I10" s="206"/>
    </row>
    <row r="11" spans="1:15" s="176" customFormat="1" ht="25.5" customHeight="1" x14ac:dyDescent="0.25">
      <c r="A11" s="169"/>
      <c r="B11" s="167" t="s">
        <v>8</v>
      </c>
      <c r="C11" s="185" t="s">
        <v>9</v>
      </c>
      <c r="D11" s="191">
        <f>SUM(D12+D232+D441)</f>
        <v>1363482538886.3301</v>
      </c>
      <c r="E11" s="191">
        <f>SUM(E12+E232+E441)</f>
        <v>878798204140.12988</v>
      </c>
      <c r="F11" s="191">
        <f>SUM(F12+F232+F441)</f>
        <v>93240496308.75</v>
      </c>
      <c r="G11" s="191">
        <f>SUM(G12+G232+G441)</f>
        <v>972038700448.88</v>
      </c>
      <c r="H11" s="236">
        <f>G11/D11</f>
        <v>0.71290879987566624</v>
      </c>
      <c r="I11" s="207"/>
      <c r="J11" s="3"/>
      <c r="K11" s="270"/>
    </row>
    <row r="12" spans="1:15" s="176" customFormat="1" ht="27.75" customHeight="1" x14ac:dyDescent="0.25">
      <c r="A12" s="126" t="s">
        <v>10</v>
      </c>
      <c r="B12" s="127" t="s">
        <v>11</v>
      </c>
      <c r="C12" s="41" t="s">
        <v>12</v>
      </c>
      <c r="D12" s="42">
        <f>SUM(D13+D14+D102+D108)</f>
        <v>443574940245</v>
      </c>
      <c r="E12" s="42">
        <f>SUM(E13+E14+E102+E108)</f>
        <v>346988293063.12994</v>
      </c>
      <c r="F12" s="42">
        <f>SUM(F13+F14+F102+F108)</f>
        <v>25054111980.75</v>
      </c>
      <c r="G12" s="42">
        <f>SUM(G13+G14+G102+G108)</f>
        <v>372042405043.88</v>
      </c>
      <c r="H12" s="237">
        <f>G12/D12</f>
        <v>0.83873630200657778</v>
      </c>
      <c r="I12" s="208"/>
      <c r="J12" s="175"/>
    </row>
    <row r="13" spans="1:15" s="176" customFormat="1" ht="25.5" customHeight="1" x14ac:dyDescent="0.25">
      <c r="A13" s="169" t="s">
        <v>13</v>
      </c>
      <c r="B13" s="167" t="s">
        <v>14</v>
      </c>
      <c r="C13" s="185" t="s">
        <v>15</v>
      </c>
      <c r="D13" s="191">
        <f>SUM(D17+D18+D19+D20+D21+D25+D22+D23+D26+D24+D27)</f>
        <v>222013986230</v>
      </c>
      <c r="E13" s="191">
        <f t="shared" ref="E13:G13" si="0">SUM(E17+E18+E19+E20+E21+E25+E22+E23+E26+E24+E27)</f>
        <v>190774659916.35999</v>
      </c>
      <c r="F13" s="191">
        <f>SUM(F17+F18+F19+F20+F21+F25+F22+F23+F26+F24+F27)</f>
        <v>10247737837</v>
      </c>
      <c r="G13" s="191">
        <f t="shared" si="0"/>
        <v>201022397753.35999</v>
      </c>
      <c r="H13" s="236">
        <f>G13/D13</f>
        <v>0.90544925194535564</v>
      </c>
      <c r="I13" s="209"/>
      <c r="J13" s="175"/>
      <c r="K13" s="270"/>
    </row>
    <row r="14" spans="1:15" s="176" customFormat="1" ht="25.5" customHeight="1" x14ac:dyDescent="0.25">
      <c r="A14" s="169" t="s">
        <v>16</v>
      </c>
      <c r="B14" s="167" t="s">
        <v>17</v>
      </c>
      <c r="C14" s="185" t="s">
        <v>18</v>
      </c>
      <c r="D14" s="191">
        <f>SUM(D29+D53+D58+D64+D69+D76+D80+D85+D97+D93+D44)</f>
        <v>47985440000</v>
      </c>
      <c r="E14" s="191">
        <f t="shared" ref="E14:G14" si="1">SUM(E29+E53+E58+E64+E69+E76+E80+E85+E97+E93+E44)</f>
        <v>18806064247.169998</v>
      </c>
      <c r="F14" s="191">
        <f>SUM(F29+F53+F58+F64+F69+F76+F80+F85+F97+F93+F44)</f>
        <v>2765207277</v>
      </c>
      <c r="G14" s="191">
        <f t="shared" si="1"/>
        <v>21571271524.169998</v>
      </c>
      <c r="H14" s="236">
        <f>G14/D14</f>
        <v>0.44953784990134504</v>
      </c>
      <c r="I14" s="209"/>
      <c r="J14" s="280"/>
      <c r="K14" s="281"/>
      <c r="L14" s="282"/>
      <c r="M14" s="282"/>
      <c r="N14" s="282"/>
      <c r="O14" s="282"/>
    </row>
    <row r="15" spans="1:15" s="176" customFormat="1" x14ac:dyDescent="0.25">
      <c r="A15" s="169"/>
      <c r="B15" s="22"/>
      <c r="C15" s="185"/>
      <c r="D15" s="191"/>
      <c r="E15" s="191"/>
      <c r="F15" s="191"/>
      <c r="G15" s="191"/>
      <c r="H15" s="236"/>
      <c r="I15" s="209"/>
      <c r="J15" s="280"/>
      <c r="K15" s="282"/>
      <c r="L15" s="282"/>
      <c r="M15" s="282"/>
      <c r="N15" s="282"/>
      <c r="O15" s="282"/>
    </row>
    <row r="16" spans="1:15" s="187" customFormat="1" ht="22.5" customHeight="1" x14ac:dyDescent="0.25">
      <c r="A16" s="23" t="s">
        <v>19</v>
      </c>
      <c r="B16" s="46" t="s">
        <v>281</v>
      </c>
      <c r="C16" s="185" t="s">
        <v>1</v>
      </c>
      <c r="D16" s="196">
        <f>SUM(D17:D27)</f>
        <v>222013986230</v>
      </c>
      <c r="E16" s="196">
        <f>SUM(E17:E27)</f>
        <v>190774659916.35999</v>
      </c>
      <c r="F16" s="196">
        <f>SUM(F17:F27)</f>
        <v>10247737837</v>
      </c>
      <c r="G16" s="191">
        <f>SUM(G17:G27)</f>
        <v>201022397753.35999</v>
      </c>
      <c r="H16" s="236">
        <f t="shared" ref="H16:H27" si="2">G16/D16</f>
        <v>0.90544925194535564</v>
      </c>
      <c r="I16" s="210"/>
      <c r="J16" s="297"/>
      <c r="K16" s="298"/>
      <c r="L16" s="279"/>
      <c r="M16" s="279"/>
      <c r="N16" s="279"/>
      <c r="O16" s="279"/>
    </row>
    <row r="17" spans="1:15" s="176" customFormat="1" ht="18.75" customHeight="1" x14ac:dyDescent="0.25">
      <c r="A17" s="188"/>
      <c r="B17" s="177" t="s">
        <v>269</v>
      </c>
      <c r="C17" s="183" t="s">
        <v>20</v>
      </c>
      <c r="D17" s="192">
        <v>4550000000</v>
      </c>
      <c r="E17" s="192">
        <f>'Realisasi Agustus'!H17</f>
        <v>3163752052</v>
      </c>
      <c r="F17" s="192">
        <v>472376861</v>
      </c>
      <c r="G17" s="192">
        <f>E17+F17</f>
        <v>3636128913</v>
      </c>
      <c r="H17" s="24">
        <f t="shared" si="2"/>
        <v>0.79914921164835162</v>
      </c>
      <c r="I17" s="211" t="s">
        <v>21</v>
      </c>
      <c r="J17" s="294"/>
      <c r="K17" s="296"/>
      <c r="L17" s="282"/>
      <c r="M17" s="282"/>
      <c r="N17" s="282"/>
      <c r="O17" s="282"/>
    </row>
    <row r="18" spans="1:15" s="176" customFormat="1" ht="18.75" customHeight="1" x14ac:dyDescent="0.25">
      <c r="A18" s="188"/>
      <c r="B18" s="177" t="s">
        <v>270</v>
      </c>
      <c r="C18" s="183" t="s">
        <v>22</v>
      </c>
      <c r="D18" s="192">
        <v>10000000000</v>
      </c>
      <c r="E18" s="192">
        <f>'Realisasi Agustus'!H18</f>
        <v>6926948279</v>
      </c>
      <c r="F18" s="192">
        <v>1081190171</v>
      </c>
      <c r="G18" s="192">
        <f t="shared" ref="G18:G27" si="3">E18+F18</f>
        <v>8008138450</v>
      </c>
      <c r="H18" s="24">
        <f t="shared" si="2"/>
        <v>0.80081384499999997</v>
      </c>
      <c r="I18" s="212" t="s">
        <v>23</v>
      </c>
      <c r="J18" s="294"/>
      <c r="K18" s="296"/>
      <c r="L18" s="282"/>
      <c r="M18" s="282" t="s">
        <v>629</v>
      </c>
      <c r="N18" s="282"/>
      <c r="O18" s="282"/>
    </row>
    <row r="19" spans="1:15" s="176" customFormat="1" ht="18.75" customHeight="1" x14ac:dyDescent="0.25">
      <c r="A19" s="188"/>
      <c r="B19" s="177" t="s">
        <v>271</v>
      </c>
      <c r="C19" s="183" t="s">
        <v>24</v>
      </c>
      <c r="D19" s="192">
        <v>1800000000</v>
      </c>
      <c r="E19" s="192">
        <f>'Realisasi Agustus'!H19</f>
        <v>1312516864</v>
      </c>
      <c r="F19" s="192">
        <v>143972999</v>
      </c>
      <c r="G19" s="192">
        <f t="shared" si="3"/>
        <v>1456489863</v>
      </c>
      <c r="H19" s="24">
        <f t="shared" si="2"/>
        <v>0.80916103500000003</v>
      </c>
      <c r="I19" s="211" t="s">
        <v>25</v>
      </c>
      <c r="J19" s="294"/>
      <c r="K19" s="296"/>
      <c r="L19" s="282"/>
      <c r="M19" s="282"/>
      <c r="N19" s="282"/>
      <c r="O19" s="282"/>
    </row>
    <row r="20" spans="1:15" s="176" customFormat="1" ht="18.75" customHeight="1" x14ac:dyDescent="0.25">
      <c r="A20" s="188"/>
      <c r="B20" s="177" t="s">
        <v>272</v>
      </c>
      <c r="C20" s="183" t="s">
        <v>26</v>
      </c>
      <c r="D20" s="192">
        <v>2900000000</v>
      </c>
      <c r="E20" s="192">
        <f>'Realisasi Agustus'!H20</f>
        <v>1957720155</v>
      </c>
      <c r="F20" s="192">
        <v>292426497</v>
      </c>
      <c r="G20" s="192">
        <f t="shared" si="3"/>
        <v>2250146652</v>
      </c>
      <c r="H20" s="24">
        <f t="shared" si="2"/>
        <v>0.77591263862068971</v>
      </c>
      <c r="I20" s="211" t="s">
        <v>27</v>
      </c>
      <c r="J20" s="294"/>
      <c r="K20" s="296"/>
      <c r="L20" s="282"/>
      <c r="M20" s="282"/>
      <c r="N20" s="282"/>
      <c r="O20" s="282"/>
    </row>
    <row r="21" spans="1:15" s="176" customFormat="1" ht="18.75" customHeight="1" x14ac:dyDescent="0.25">
      <c r="A21" s="188"/>
      <c r="B21" s="177" t="s">
        <v>676</v>
      </c>
      <c r="C21" s="183" t="s">
        <v>677</v>
      </c>
      <c r="D21" s="192">
        <v>51000000000</v>
      </c>
      <c r="E21" s="192">
        <f>'Realisasi Agustus'!H21</f>
        <v>35080521948.360001</v>
      </c>
      <c r="F21" s="192">
        <f>826297751+3723470489</f>
        <v>4549768240</v>
      </c>
      <c r="G21" s="192">
        <f t="shared" si="3"/>
        <v>39630290188.360001</v>
      </c>
      <c r="H21" s="24">
        <f t="shared" si="2"/>
        <v>0.77706451349725492</v>
      </c>
      <c r="I21" s="211" t="s">
        <v>28</v>
      </c>
      <c r="J21" s="294"/>
      <c r="K21" s="296"/>
      <c r="L21" s="282"/>
      <c r="M21" s="282"/>
      <c r="N21" s="282"/>
      <c r="O21" s="282"/>
    </row>
    <row r="22" spans="1:15" s="176" customFormat="1" ht="18.75" customHeight="1" x14ac:dyDescent="0.25">
      <c r="A22" s="188"/>
      <c r="B22" s="177" t="s">
        <v>273</v>
      </c>
      <c r="C22" s="183" t="s">
        <v>31</v>
      </c>
      <c r="D22" s="192">
        <v>600000000</v>
      </c>
      <c r="E22" s="192">
        <f>'Realisasi Agustus'!H22</f>
        <v>515698203</v>
      </c>
      <c r="F22" s="192">
        <v>68304000</v>
      </c>
      <c r="G22" s="192">
        <f t="shared" si="3"/>
        <v>584002203</v>
      </c>
      <c r="H22" s="24">
        <f t="shared" si="2"/>
        <v>0.97333700499999998</v>
      </c>
      <c r="I22" s="213" t="s">
        <v>32</v>
      </c>
      <c r="J22" s="294"/>
      <c r="K22" s="296"/>
      <c r="L22" s="282"/>
      <c r="M22" s="282"/>
      <c r="N22" s="282"/>
      <c r="O22" s="282"/>
    </row>
    <row r="23" spans="1:15" s="176" customFormat="1" ht="18.75" customHeight="1" x14ac:dyDescent="0.25">
      <c r="A23" s="188"/>
      <c r="B23" s="177" t="s">
        <v>274</v>
      </c>
      <c r="C23" s="183" t="s">
        <v>33</v>
      </c>
      <c r="D23" s="192">
        <v>1100000000</v>
      </c>
      <c r="E23" s="192">
        <f>'Realisasi Agustus'!H23</f>
        <v>695311433</v>
      </c>
      <c r="F23" s="192">
        <v>122088910</v>
      </c>
      <c r="G23" s="192">
        <f t="shared" si="3"/>
        <v>817400343</v>
      </c>
      <c r="H23" s="24">
        <f t="shared" si="2"/>
        <v>0.74309122090909085</v>
      </c>
      <c r="I23" s="213" t="s">
        <v>34</v>
      </c>
      <c r="J23" s="294"/>
      <c r="K23" s="296"/>
      <c r="L23" s="282"/>
      <c r="M23" s="282"/>
      <c r="N23" s="282"/>
      <c r="O23" s="282"/>
    </row>
    <row r="24" spans="1:15" s="176" customFormat="1" ht="18.75" customHeight="1" x14ac:dyDescent="0.25">
      <c r="A24" s="188"/>
      <c r="B24" s="177" t="s">
        <v>275</v>
      </c>
      <c r="C24" s="183" t="s">
        <v>35</v>
      </c>
      <c r="D24" s="192">
        <v>92000000</v>
      </c>
      <c r="E24" s="192">
        <f>'Realisasi Agustus'!H24</f>
        <v>67111540</v>
      </c>
      <c r="F24" s="192">
        <v>8363400</v>
      </c>
      <c r="G24" s="192">
        <f t="shared" si="3"/>
        <v>75474940</v>
      </c>
      <c r="H24" s="24">
        <f t="shared" si="2"/>
        <v>0.82037978260869571</v>
      </c>
      <c r="I24" s="213" t="s">
        <v>36</v>
      </c>
      <c r="J24" s="294"/>
      <c r="K24" s="296"/>
      <c r="L24" s="282"/>
      <c r="M24" s="282"/>
      <c r="N24" s="282"/>
      <c r="O24" s="282"/>
    </row>
    <row r="25" spans="1:15" s="176" customFormat="1" ht="18.75" customHeight="1" x14ac:dyDescent="0.25">
      <c r="A25" s="188"/>
      <c r="B25" s="177" t="s">
        <v>276</v>
      </c>
      <c r="C25" s="183" t="s">
        <v>29</v>
      </c>
      <c r="D25" s="192">
        <v>0</v>
      </c>
      <c r="E25" s="192">
        <f>'Realisasi Agustus'!H25</f>
        <v>0</v>
      </c>
      <c r="F25" s="192">
        <v>0</v>
      </c>
      <c r="G25" s="192">
        <f>E25+F25</f>
        <v>0</v>
      </c>
      <c r="H25" s="24"/>
      <c r="I25" s="214" t="s">
        <v>30</v>
      </c>
      <c r="J25" s="294"/>
      <c r="K25" s="296"/>
      <c r="L25" s="295"/>
      <c r="M25" s="295"/>
      <c r="N25" s="282"/>
      <c r="O25" s="282"/>
    </row>
    <row r="26" spans="1:15" s="176" customFormat="1" ht="18.75" customHeight="1" x14ac:dyDescent="0.25">
      <c r="A26" s="188"/>
      <c r="B26" s="177" t="s">
        <v>277</v>
      </c>
      <c r="C26" s="171" t="s">
        <v>278</v>
      </c>
      <c r="D26" s="178">
        <v>130971986230</v>
      </c>
      <c r="E26" s="192">
        <f>'Realisasi Agustus'!H26</f>
        <v>130600098394</v>
      </c>
      <c r="F26" s="178">
        <v>1245538390</v>
      </c>
      <c r="G26" s="192">
        <f t="shared" si="3"/>
        <v>131845636784</v>
      </c>
      <c r="H26" s="24">
        <f t="shared" si="2"/>
        <v>1.0066705146584993</v>
      </c>
      <c r="I26" s="213" t="s">
        <v>37</v>
      </c>
      <c r="J26" s="294"/>
      <c r="K26" s="296"/>
      <c r="L26" s="295"/>
      <c r="M26" s="295"/>
    </row>
    <row r="27" spans="1:15" s="176" customFormat="1" x14ac:dyDescent="0.25">
      <c r="A27" s="188"/>
      <c r="B27" s="177" t="s">
        <v>279</v>
      </c>
      <c r="C27" s="183" t="s">
        <v>38</v>
      </c>
      <c r="D27" s="178">
        <v>19000000000</v>
      </c>
      <c r="E27" s="192">
        <f>'Realisasi Agustus'!H27</f>
        <v>10454981048</v>
      </c>
      <c r="F27" s="178">
        <v>2263708369</v>
      </c>
      <c r="G27" s="192">
        <f t="shared" si="3"/>
        <v>12718689417</v>
      </c>
      <c r="H27" s="24">
        <f t="shared" si="2"/>
        <v>0.66940470615789471</v>
      </c>
      <c r="I27" s="215" t="s">
        <v>474</v>
      </c>
      <c r="J27" s="294"/>
      <c r="K27" s="296"/>
      <c r="L27" s="295"/>
      <c r="M27" s="295"/>
    </row>
    <row r="28" spans="1:15" s="176" customFormat="1" x14ac:dyDescent="0.25">
      <c r="A28" s="169"/>
      <c r="B28" s="22"/>
      <c r="C28" s="25"/>
      <c r="D28" s="191"/>
      <c r="E28" s="192"/>
      <c r="F28" s="191"/>
      <c r="G28" s="191"/>
      <c r="H28" s="236"/>
      <c r="I28" s="216"/>
      <c r="J28" s="294"/>
      <c r="K28" s="295"/>
    </row>
    <row r="29" spans="1:15" s="187" customFormat="1" x14ac:dyDescent="0.25">
      <c r="A29" s="26" t="s">
        <v>39</v>
      </c>
      <c r="B29" s="22" t="s">
        <v>282</v>
      </c>
      <c r="C29" s="185" t="s">
        <v>40</v>
      </c>
      <c r="D29" s="196">
        <f>D30+D38</f>
        <v>1009950000</v>
      </c>
      <c r="E29" s="196">
        <f t="shared" ref="E29:G29" si="4">E30+E38</f>
        <v>464643000</v>
      </c>
      <c r="F29" s="196">
        <f t="shared" si="4"/>
        <v>51419000</v>
      </c>
      <c r="G29" s="196">
        <f t="shared" si="4"/>
        <v>516062000</v>
      </c>
      <c r="H29" s="236">
        <f t="shared" ref="H29:H39" si="5">G29/D29</f>
        <v>0.51097777117679088</v>
      </c>
      <c r="I29" s="216"/>
      <c r="J29" s="297"/>
      <c r="K29" s="298"/>
    </row>
    <row r="30" spans="1:15" s="187" customFormat="1" x14ac:dyDescent="0.25">
      <c r="A30" s="26" t="s">
        <v>413</v>
      </c>
      <c r="B30" s="170" t="s">
        <v>288</v>
      </c>
      <c r="C30" s="185" t="s">
        <v>55</v>
      </c>
      <c r="D30" s="196">
        <f>D31+D41</f>
        <v>1000000000</v>
      </c>
      <c r="E30" s="196">
        <f t="shared" ref="E30:G30" si="6">E31+E41</f>
        <v>451643000</v>
      </c>
      <c r="F30" s="196">
        <f t="shared" si="6"/>
        <v>43419000</v>
      </c>
      <c r="G30" s="196">
        <f t="shared" si="6"/>
        <v>495062000</v>
      </c>
      <c r="H30" s="236">
        <f t="shared" si="5"/>
        <v>0.495062</v>
      </c>
      <c r="I30" s="216"/>
      <c r="J30" s="297"/>
      <c r="K30" s="298"/>
    </row>
    <row r="31" spans="1:15" s="176" customFormat="1" x14ac:dyDescent="0.25">
      <c r="A31" s="188"/>
      <c r="B31" s="179" t="s">
        <v>488</v>
      </c>
      <c r="C31" s="185" t="s">
        <v>280</v>
      </c>
      <c r="D31" s="191">
        <f>SUM(D32:D35)</f>
        <v>750000000</v>
      </c>
      <c r="E31" s="191">
        <f t="shared" ref="E31:F31" si="7">SUM(E32:E35)</f>
        <v>263290000</v>
      </c>
      <c r="F31" s="191">
        <f t="shared" si="7"/>
        <v>32573000</v>
      </c>
      <c r="G31" s="191">
        <f>SUM(G32:G35)</f>
        <v>295863000</v>
      </c>
      <c r="H31" s="236">
        <f t="shared" si="5"/>
        <v>0.394484</v>
      </c>
      <c r="I31" s="207" t="s">
        <v>41</v>
      </c>
      <c r="J31" s="294"/>
      <c r="K31" s="295"/>
    </row>
    <row r="32" spans="1:15" s="176" customFormat="1" x14ac:dyDescent="0.25">
      <c r="A32" s="188"/>
      <c r="B32" s="177" t="s">
        <v>489</v>
      </c>
      <c r="C32" s="183" t="s">
        <v>42</v>
      </c>
      <c r="D32" s="192">
        <v>220000000</v>
      </c>
      <c r="E32" s="192">
        <f>'Realisasi Agustus'!H32</f>
        <v>51475000</v>
      </c>
      <c r="F32" s="192">
        <v>5733000</v>
      </c>
      <c r="G32" s="192">
        <f>E32+F32</f>
        <v>57208000</v>
      </c>
      <c r="H32" s="24">
        <f t="shared" si="5"/>
        <v>0.26003636363636362</v>
      </c>
      <c r="I32" s="207"/>
      <c r="J32" s="294"/>
      <c r="K32" s="295"/>
    </row>
    <row r="33" spans="1:10" s="176" customFormat="1" x14ac:dyDescent="0.25">
      <c r="A33" s="188"/>
      <c r="B33" s="177" t="s">
        <v>490</v>
      </c>
      <c r="C33" s="183" t="s">
        <v>43</v>
      </c>
      <c r="D33" s="192">
        <v>494000000</v>
      </c>
      <c r="E33" s="192">
        <f>'Realisasi Agustus'!H33</f>
        <v>170385000</v>
      </c>
      <c r="F33" s="192">
        <v>20810000</v>
      </c>
      <c r="G33" s="192">
        <f t="shared" ref="G33:G40" si="8">E33+F33</f>
        <v>191195000</v>
      </c>
      <c r="H33" s="24">
        <f t="shared" si="5"/>
        <v>0.38703441295546559</v>
      </c>
      <c r="I33" s="207"/>
      <c r="J33" s="175"/>
    </row>
    <row r="34" spans="1:10" s="176" customFormat="1" x14ac:dyDescent="0.25">
      <c r="A34" s="188"/>
      <c r="B34" s="177" t="s">
        <v>491</v>
      </c>
      <c r="C34" s="183" t="s">
        <v>44</v>
      </c>
      <c r="D34" s="192">
        <v>36000000</v>
      </c>
      <c r="E34" s="192">
        <f>'Realisasi Agustus'!H34</f>
        <v>41430000</v>
      </c>
      <c r="F34" s="192">
        <v>6030000</v>
      </c>
      <c r="G34" s="192">
        <f t="shared" si="8"/>
        <v>47460000</v>
      </c>
      <c r="H34" s="24">
        <f t="shared" si="5"/>
        <v>1.3183333333333334</v>
      </c>
      <c r="I34" s="207"/>
      <c r="J34" s="175"/>
    </row>
    <row r="35" spans="1:10" s="176" customFormat="1" hidden="1" x14ac:dyDescent="0.25">
      <c r="A35" s="188"/>
      <c r="B35" s="177"/>
      <c r="C35" s="183" t="s">
        <v>45</v>
      </c>
      <c r="D35" s="192"/>
      <c r="E35" s="192"/>
      <c r="F35" s="192"/>
      <c r="G35" s="192">
        <f t="shared" si="8"/>
        <v>0</v>
      </c>
      <c r="H35" s="24" t="e">
        <f t="shared" si="5"/>
        <v>#DIV/0!</v>
      </c>
      <c r="I35" s="207"/>
      <c r="J35" s="175"/>
    </row>
    <row r="36" spans="1:10" s="176" customFormat="1" ht="11.25" customHeight="1" x14ac:dyDescent="0.25">
      <c r="A36" s="188"/>
      <c r="B36" s="177"/>
      <c r="C36" s="183"/>
      <c r="D36" s="192"/>
      <c r="E36" s="192"/>
      <c r="F36" s="192"/>
      <c r="G36" s="192"/>
      <c r="H36" s="24"/>
      <c r="I36" s="207"/>
      <c r="J36" s="175"/>
    </row>
    <row r="37" spans="1:10" s="176" customFormat="1" ht="15" customHeight="1" x14ac:dyDescent="0.25">
      <c r="A37" s="188"/>
      <c r="B37" s="177"/>
      <c r="C37" s="185" t="s">
        <v>60</v>
      </c>
      <c r="D37" s="192"/>
      <c r="E37" s="192"/>
      <c r="F37" s="192"/>
      <c r="G37" s="192"/>
      <c r="H37" s="24"/>
      <c r="I37" s="207"/>
      <c r="J37" s="175"/>
    </row>
    <row r="38" spans="1:10" s="176" customFormat="1" ht="15" customHeight="1" x14ac:dyDescent="0.25">
      <c r="A38" s="188"/>
      <c r="B38" s="179" t="s">
        <v>305</v>
      </c>
      <c r="C38" s="385" t="s">
        <v>70</v>
      </c>
      <c r="D38" s="191">
        <f>D39</f>
        <v>9950000</v>
      </c>
      <c r="E38" s="191">
        <f t="shared" ref="E38:G38" si="9">E39</f>
        <v>13000000</v>
      </c>
      <c r="F38" s="191">
        <f t="shared" si="9"/>
        <v>8000000</v>
      </c>
      <c r="G38" s="191">
        <f t="shared" si="9"/>
        <v>21000000</v>
      </c>
      <c r="H38" s="236">
        <f t="shared" si="5"/>
        <v>2.1105527638190953</v>
      </c>
      <c r="I38" s="207"/>
      <c r="J38" s="175"/>
    </row>
    <row r="39" spans="1:10" s="176" customFormat="1" ht="15" customHeight="1" x14ac:dyDescent="0.25">
      <c r="A39" s="188"/>
      <c r="B39" s="177" t="s">
        <v>511</v>
      </c>
      <c r="C39" s="166" t="s">
        <v>70</v>
      </c>
      <c r="D39" s="192">
        <v>9950000</v>
      </c>
      <c r="E39" s="192">
        <f>'Realisasi Agustus'!H38</f>
        <v>13000000</v>
      </c>
      <c r="F39" s="192">
        <v>8000000</v>
      </c>
      <c r="G39" s="192">
        <f t="shared" si="8"/>
        <v>21000000</v>
      </c>
      <c r="H39" s="24">
        <f t="shared" si="5"/>
        <v>2.1105527638190953</v>
      </c>
      <c r="I39" s="207"/>
      <c r="J39" s="175"/>
    </row>
    <row r="40" spans="1:10" s="176" customFormat="1" ht="15" customHeight="1" x14ac:dyDescent="0.25">
      <c r="A40" s="188"/>
      <c r="B40" s="177"/>
      <c r="C40" s="166"/>
      <c r="D40" s="192"/>
      <c r="E40" s="192"/>
      <c r="F40" s="192"/>
      <c r="G40" s="192">
        <f t="shared" si="8"/>
        <v>0</v>
      </c>
      <c r="H40" s="24"/>
      <c r="I40" s="207"/>
      <c r="J40" s="175"/>
    </row>
    <row r="41" spans="1:10" s="187" customFormat="1" x14ac:dyDescent="0.25">
      <c r="A41" s="26" t="s">
        <v>414</v>
      </c>
      <c r="B41" s="170" t="s">
        <v>492</v>
      </c>
      <c r="C41" s="185" t="s">
        <v>494</v>
      </c>
      <c r="D41" s="196">
        <f>D42</f>
        <v>250000000</v>
      </c>
      <c r="E41" s="196">
        <f t="shared" ref="E41:G41" si="10">E42</f>
        <v>188353000</v>
      </c>
      <c r="F41" s="196">
        <f t="shared" si="10"/>
        <v>10846000</v>
      </c>
      <c r="G41" s="196">
        <f t="shared" si="10"/>
        <v>199199000</v>
      </c>
      <c r="H41" s="236">
        <f>G41/D41</f>
        <v>0.79679599999999995</v>
      </c>
      <c r="I41" s="216"/>
      <c r="J41" s="186"/>
    </row>
    <row r="42" spans="1:10" s="176" customFormat="1" x14ac:dyDescent="0.25">
      <c r="A42" s="188"/>
      <c r="B42" s="177" t="s">
        <v>493</v>
      </c>
      <c r="C42" s="183" t="s">
        <v>724</v>
      </c>
      <c r="D42" s="192">
        <v>250000000</v>
      </c>
      <c r="E42" s="192">
        <f>'Realisasi Agustus'!H41</f>
        <v>188353000</v>
      </c>
      <c r="F42" s="192">
        <v>10846000</v>
      </c>
      <c r="G42" s="181">
        <f>E42+F42</f>
        <v>199199000</v>
      </c>
      <c r="H42" s="24">
        <f>G42/D42</f>
        <v>0.79679599999999995</v>
      </c>
      <c r="I42" s="207" t="s">
        <v>41</v>
      </c>
      <c r="J42" s="175"/>
    </row>
    <row r="43" spans="1:10" s="176" customFormat="1" ht="15" customHeight="1" x14ac:dyDescent="0.25">
      <c r="A43" s="188"/>
      <c r="B43" s="177"/>
      <c r="C43" s="166"/>
      <c r="D43" s="192"/>
      <c r="E43" s="192"/>
      <c r="F43" s="192"/>
      <c r="G43" s="192"/>
      <c r="H43" s="24"/>
      <c r="I43" s="207"/>
      <c r="J43" s="175"/>
    </row>
    <row r="44" spans="1:10" s="176" customFormat="1" x14ac:dyDescent="0.25">
      <c r="A44" s="168" t="s">
        <v>46</v>
      </c>
      <c r="B44" s="22" t="s">
        <v>592</v>
      </c>
      <c r="C44" s="185" t="s">
        <v>594</v>
      </c>
      <c r="D44" s="196">
        <f>D45+D51</f>
        <v>15125050000</v>
      </c>
      <c r="E44" s="196">
        <f t="shared" ref="E44:G44" si="11">E45+E51</f>
        <v>2701467747.1700001</v>
      </c>
      <c r="F44" s="196">
        <f t="shared" si="11"/>
        <v>470427177</v>
      </c>
      <c r="G44" s="196">
        <f t="shared" si="11"/>
        <v>3171894924.1700001</v>
      </c>
      <c r="H44" s="236">
        <f t="shared" ref="H44:H51" si="12">G44/D44</f>
        <v>0.20971136784142863</v>
      </c>
      <c r="I44" s="207"/>
      <c r="J44" s="175"/>
    </row>
    <row r="45" spans="1:10" s="176" customFormat="1" x14ac:dyDescent="0.25">
      <c r="A45" s="188"/>
      <c r="B45" s="170" t="s">
        <v>285</v>
      </c>
      <c r="C45" s="185" t="s">
        <v>444</v>
      </c>
      <c r="D45" s="191">
        <f>D46</f>
        <v>135000000</v>
      </c>
      <c r="E45" s="191">
        <f t="shared" ref="E45:G45" si="13">E46</f>
        <v>97550000</v>
      </c>
      <c r="F45" s="191">
        <f t="shared" si="13"/>
        <v>33400000</v>
      </c>
      <c r="G45" s="191">
        <f t="shared" si="13"/>
        <v>130950000</v>
      </c>
      <c r="H45" s="236">
        <f t="shared" si="12"/>
        <v>0.97</v>
      </c>
      <c r="I45" s="207"/>
      <c r="J45" s="175"/>
    </row>
    <row r="46" spans="1:10" s="187" customFormat="1" x14ac:dyDescent="0.25">
      <c r="A46" s="169"/>
      <c r="B46" s="170" t="s">
        <v>284</v>
      </c>
      <c r="C46" s="185" t="s">
        <v>595</v>
      </c>
      <c r="D46" s="191">
        <f>SUM(D47)</f>
        <v>135000000</v>
      </c>
      <c r="E46" s="191">
        <f t="shared" ref="E46:G46" si="14">SUM(E47)</f>
        <v>97550000</v>
      </c>
      <c r="F46" s="191">
        <f t="shared" si="14"/>
        <v>33400000</v>
      </c>
      <c r="G46" s="191">
        <f t="shared" si="14"/>
        <v>130950000</v>
      </c>
      <c r="H46" s="236">
        <f t="shared" si="12"/>
        <v>0.97</v>
      </c>
      <c r="I46" s="216"/>
      <c r="J46" s="186"/>
    </row>
    <row r="47" spans="1:10" s="176" customFormat="1" x14ac:dyDescent="0.25">
      <c r="A47" s="188"/>
      <c r="B47" s="170" t="s">
        <v>593</v>
      </c>
      <c r="C47" s="185" t="s">
        <v>595</v>
      </c>
      <c r="D47" s="191">
        <f>SUM(D48:D49)</f>
        <v>135000000</v>
      </c>
      <c r="E47" s="191">
        <f t="shared" ref="E47:G47" si="15">SUM(E48:E49)</f>
        <v>97550000</v>
      </c>
      <c r="F47" s="191">
        <f t="shared" si="15"/>
        <v>33400000</v>
      </c>
      <c r="G47" s="191">
        <f t="shared" si="15"/>
        <v>130950000</v>
      </c>
      <c r="H47" s="236">
        <f t="shared" si="12"/>
        <v>0.97</v>
      </c>
      <c r="I47" s="207" t="s">
        <v>47</v>
      </c>
      <c r="J47" s="175"/>
    </row>
    <row r="48" spans="1:10" s="176" customFormat="1" x14ac:dyDescent="0.25">
      <c r="A48" s="188"/>
      <c r="B48" s="178"/>
      <c r="C48" s="193" t="s">
        <v>316</v>
      </c>
      <c r="D48" s="192">
        <v>5000000</v>
      </c>
      <c r="E48" s="192">
        <f>'Realisasi Agustus'!H47</f>
        <v>600000</v>
      </c>
      <c r="F48" s="192">
        <v>1200000</v>
      </c>
      <c r="G48" s="192">
        <f>E48+F48</f>
        <v>1800000</v>
      </c>
      <c r="H48" s="24">
        <f t="shared" si="12"/>
        <v>0.36</v>
      </c>
      <c r="I48" s="207"/>
      <c r="J48" s="175"/>
    </row>
    <row r="49" spans="1:11" s="176" customFormat="1" x14ac:dyDescent="0.25">
      <c r="A49" s="188"/>
      <c r="B49" s="178"/>
      <c r="C49" s="193" t="s">
        <v>317</v>
      </c>
      <c r="D49" s="192">
        <v>130000000</v>
      </c>
      <c r="E49" s="192">
        <f>'Realisasi Agustus'!H48</f>
        <v>96950000</v>
      </c>
      <c r="F49" s="192">
        <v>32200000</v>
      </c>
      <c r="G49" s="192">
        <f>E49+F49</f>
        <v>129150000</v>
      </c>
      <c r="H49" s="24">
        <f t="shared" si="12"/>
        <v>0.99346153846153851</v>
      </c>
      <c r="I49" s="207"/>
      <c r="J49" s="175"/>
    </row>
    <row r="50" spans="1:11" s="176" customFormat="1" ht="15" customHeight="1" x14ac:dyDescent="0.25">
      <c r="A50" s="188"/>
      <c r="B50" s="177"/>
      <c r="C50" s="185" t="s">
        <v>60</v>
      </c>
      <c r="D50" s="192"/>
      <c r="E50" s="192"/>
      <c r="F50" s="192"/>
      <c r="G50" s="192"/>
      <c r="H50" s="24"/>
      <c r="I50" s="207"/>
      <c r="J50" s="175"/>
    </row>
    <row r="51" spans="1:11" s="176" customFormat="1" ht="15" customHeight="1" x14ac:dyDescent="0.25">
      <c r="A51" s="188"/>
      <c r="B51" s="177"/>
      <c r="C51" s="395" t="s">
        <v>692</v>
      </c>
      <c r="D51" s="191">
        <v>14990050000</v>
      </c>
      <c r="E51" s="191">
        <f>'Realisasi Agustus'!H50</f>
        <v>2603917747.1700001</v>
      </c>
      <c r="F51" s="191">
        <v>437027177</v>
      </c>
      <c r="G51" s="191">
        <f>E51+F51</f>
        <v>3040944924.1700001</v>
      </c>
      <c r="H51" s="236">
        <f t="shared" si="12"/>
        <v>0.20286422821604999</v>
      </c>
      <c r="I51" s="207"/>
      <c r="J51" s="175"/>
    </row>
    <row r="52" spans="1:11" s="176" customFormat="1" ht="15" customHeight="1" x14ac:dyDescent="0.25">
      <c r="A52" s="188"/>
      <c r="B52" s="177"/>
      <c r="C52" s="166"/>
      <c r="D52" s="192"/>
      <c r="E52" s="192"/>
      <c r="F52" s="192"/>
      <c r="G52" s="192"/>
      <c r="H52" s="24"/>
      <c r="I52" s="207"/>
      <c r="J52" s="175"/>
    </row>
    <row r="53" spans="1:11" s="176" customFormat="1" x14ac:dyDescent="0.25">
      <c r="A53" s="168" t="s">
        <v>8</v>
      </c>
      <c r="B53" s="22" t="s">
        <v>283</v>
      </c>
      <c r="C53" s="185" t="s">
        <v>48</v>
      </c>
      <c r="D53" s="196">
        <f>SUM(D54)</f>
        <v>50000000</v>
      </c>
      <c r="E53" s="196">
        <f t="shared" ref="E53:G53" si="16">SUM(E54)</f>
        <v>22950000</v>
      </c>
      <c r="F53" s="196">
        <f t="shared" si="16"/>
        <v>0</v>
      </c>
      <c r="G53" s="196">
        <f t="shared" si="16"/>
        <v>22950000</v>
      </c>
      <c r="H53" s="236">
        <f>G53/D53</f>
        <v>0.45900000000000002</v>
      </c>
      <c r="I53" s="207"/>
      <c r="J53" s="175"/>
    </row>
    <row r="54" spans="1:11" s="176" customFormat="1" x14ac:dyDescent="0.25">
      <c r="A54" s="188"/>
      <c r="B54" s="170" t="s">
        <v>285</v>
      </c>
      <c r="C54" s="185" t="s">
        <v>444</v>
      </c>
      <c r="D54" s="191">
        <f>D55</f>
        <v>50000000</v>
      </c>
      <c r="E54" s="191">
        <f t="shared" ref="E54:G54" si="17">E55</f>
        <v>22950000</v>
      </c>
      <c r="F54" s="191">
        <f t="shared" si="17"/>
        <v>0</v>
      </c>
      <c r="G54" s="191">
        <f t="shared" si="17"/>
        <v>22950000</v>
      </c>
      <c r="H54" s="236">
        <f>G54/D54</f>
        <v>0.45900000000000002</v>
      </c>
      <c r="I54" s="207"/>
      <c r="J54" s="175"/>
    </row>
    <row r="55" spans="1:11" s="187" customFormat="1" x14ac:dyDescent="0.25">
      <c r="A55" s="169"/>
      <c r="B55" s="170" t="s">
        <v>284</v>
      </c>
      <c r="C55" s="185" t="s">
        <v>286</v>
      </c>
      <c r="D55" s="191">
        <f>SUM(D56)</f>
        <v>50000000</v>
      </c>
      <c r="E55" s="191">
        <f t="shared" ref="E55:G55" si="18">SUM(E56)</f>
        <v>22950000</v>
      </c>
      <c r="F55" s="191">
        <f t="shared" si="18"/>
        <v>0</v>
      </c>
      <c r="G55" s="191">
        <f t="shared" si="18"/>
        <v>22950000</v>
      </c>
      <c r="H55" s="236">
        <f>G55/D55</f>
        <v>0.45900000000000002</v>
      </c>
      <c r="I55" s="216"/>
      <c r="J55" s="186"/>
    </row>
    <row r="56" spans="1:11" s="176" customFormat="1" x14ac:dyDescent="0.25">
      <c r="A56" s="188"/>
      <c r="B56" s="178" t="s">
        <v>496</v>
      </c>
      <c r="C56" s="183" t="s">
        <v>497</v>
      </c>
      <c r="D56" s="192">
        <v>50000000</v>
      </c>
      <c r="E56" s="192">
        <f>'Realisasi Agustus'!H55</f>
        <v>22950000</v>
      </c>
      <c r="F56" s="192"/>
      <c r="G56" s="192">
        <f>E56+F56</f>
        <v>22950000</v>
      </c>
      <c r="H56" s="24">
        <f>G56/D56</f>
        <v>0.45900000000000002</v>
      </c>
      <c r="I56" s="207" t="s">
        <v>47</v>
      </c>
      <c r="J56" s="175"/>
    </row>
    <row r="57" spans="1:11" s="176" customFormat="1" x14ac:dyDescent="0.25">
      <c r="A57" s="169"/>
      <c r="B57" s="22"/>
      <c r="C57" s="25"/>
      <c r="D57" s="192"/>
      <c r="E57" s="192"/>
      <c r="F57" s="192"/>
      <c r="G57" s="191"/>
      <c r="H57" s="236"/>
      <c r="I57" s="207"/>
      <c r="J57" s="175"/>
    </row>
    <row r="58" spans="1:11" s="176" customFormat="1" x14ac:dyDescent="0.25">
      <c r="A58" s="168" t="s">
        <v>49</v>
      </c>
      <c r="B58" s="22" t="s">
        <v>287</v>
      </c>
      <c r="C58" s="185" t="s">
        <v>50</v>
      </c>
      <c r="D58" s="196">
        <f>D59</f>
        <v>750000000</v>
      </c>
      <c r="E58" s="196">
        <f t="shared" ref="E58:G60" si="19">E59</f>
        <v>472440000</v>
      </c>
      <c r="F58" s="196">
        <f t="shared" si="19"/>
        <v>44480000</v>
      </c>
      <c r="G58" s="196">
        <f t="shared" si="19"/>
        <v>516920000</v>
      </c>
      <c r="H58" s="236">
        <f>G58/D58</f>
        <v>0.68922666666666665</v>
      </c>
      <c r="I58" s="207"/>
      <c r="J58" s="175"/>
    </row>
    <row r="59" spans="1:11" s="187" customFormat="1" x14ac:dyDescent="0.25">
      <c r="A59" s="169"/>
      <c r="B59" s="170" t="s">
        <v>288</v>
      </c>
      <c r="C59" s="185" t="s">
        <v>55</v>
      </c>
      <c r="D59" s="191">
        <f>D60</f>
        <v>750000000</v>
      </c>
      <c r="E59" s="191">
        <f t="shared" si="19"/>
        <v>472440000</v>
      </c>
      <c r="F59" s="191">
        <f t="shared" si="19"/>
        <v>44480000</v>
      </c>
      <c r="G59" s="191">
        <f t="shared" si="19"/>
        <v>516920000</v>
      </c>
      <c r="H59" s="236">
        <f>G59/D59</f>
        <v>0.68922666666666665</v>
      </c>
      <c r="I59" s="216" t="s">
        <v>52</v>
      </c>
      <c r="J59" s="186"/>
    </row>
    <row r="60" spans="1:11" s="176" customFormat="1" x14ac:dyDescent="0.25">
      <c r="A60" s="188"/>
      <c r="B60" s="170" t="s">
        <v>499</v>
      </c>
      <c r="C60" s="185" t="s">
        <v>51</v>
      </c>
      <c r="D60" s="191">
        <f>D61</f>
        <v>750000000</v>
      </c>
      <c r="E60" s="191">
        <f t="shared" si="19"/>
        <v>472440000</v>
      </c>
      <c r="F60" s="191">
        <f t="shared" si="19"/>
        <v>44480000</v>
      </c>
      <c r="G60" s="191">
        <f t="shared" si="19"/>
        <v>516920000</v>
      </c>
      <c r="H60" s="236">
        <f>G60/D60</f>
        <v>0.68922666666666665</v>
      </c>
      <c r="I60" s="207"/>
      <c r="J60" s="175"/>
    </row>
    <row r="61" spans="1:11" s="176" customFormat="1" x14ac:dyDescent="0.25">
      <c r="A61" s="188"/>
      <c r="B61" s="178" t="s">
        <v>498</v>
      </c>
      <c r="C61" s="183" t="s">
        <v>51</v>
      </c>
      <c r="D61" s="192">
        <v>750000000</v>
      </c>
      <c r="E61" s="192">
        <f>'Realisasi Agustus'!H60</f>
        <v>472440000</v>
      </c>
      <c r="F61" s="192">
        <v>44480000</v>
      </c>
      <c r="G61" s="192">
        <f>E61+F61</f>
        <v>516920000</v>
      </c>
      <c r="H61" s="24">
        <f>G61/D61</f>
        <v>0.68922666666666665</v>
      </c>
      <c r="I61" s="207"/>
      <c r="J61" s="175"/>
      <c r="K61" s="270"/>
    </row>
    <row r="62" spans="1:11" s="176" customFormat="1" x14ac:dyDescent="0.25">
      <c r="A62" s="169"/>
      <c r="B62" s="22"/>
      <c r="C62" s="25"/>
      <c r="D62" s="191"/>
      <c r="E62" s="191"/>
      <c r="F62" s="191"/>
      <c r="G62" s="191"/>
      <c r="H62" s="236"/>
      <c r="I62" s="217"/>
      <c r="J62" s="175"/>
    </row>
    <row r="63" spans="1:11" s="176" customFormat="1" x14ac:dyDescent="0.25">
      <c r="A63" s="168" t="s">
        <v>53</v>
      </c>
      <c r="B63" s="22" t="s">
        <v>289</v>
      </c>
      <c r="C63" s="185" t="s">
        <v>54</v>
      </c>
      <c r="D63" s="196">
        <f>D64+D69+D76</f>
        <v>30000000000</v>
      </c>
      <c r="E63" s="196">
        <f t="shared" ref="E63:G63" si="20">E64+E69+E76</f>
        <v>15111736800</v>
      </c>
      <c r="F63" s="196">
        <f t="shared" si="20"/>
        <v>2172281100</v>
      </c>
      <c r="G63" s="196">
        <f t="shared" si="20"/>
        <v>17284017900</v>
      </c>
      <c r="H63" s="236">
        <f t="shared" ref="H63:H78" si="21">G63/D63</f>
        <v>0.57613393000000002</v>
      </c>
      <c r="I63" s="209"/>
      <c r="J63" s="175"/>
    </row>
    <row r="64" spans="1:11" s="187" customFormat="1" x14ac:dyDescent="0.25">
      <c r="A64" s="169" t="s">
        <v>413</v>
      </c>
      <c r="B64" s="170" t="s">
        <v>288</v>
      </c>
      <c r="C64" s="185" t="s">
        <v>55</v>
      </c>
      <c r="D64" s="191">
        <f>D65+D67</f>
        <v>1829475000</v>
      </c>
      <c r="E64" s="191">
        <f t="shared" ref="E64:G64" si="22">E65+E67</f>
        <v>337864550</v>
      </c>
      <c r="F64" s="191">
        <f t="shared" si="22"/>
        <v>74002900</v>
      </c>
      <c r="G64" s="191">
        <f t="shared" si="22"/>
        <v>411867450</v>
      </c>
      <c r="H64" s="236">
        <f t="shared" si="21"/>
        <v>0.22512876644939123</v>
      </c>
      <c r="I64" s="207"/>
      <c r="J64" s="186"/>
    </row>
    <row r="65" spans="1:10" s="187" customFormat="1" x14ac:dyDescent="0.25">
      <c r="A65" s="169"/>
      <c r="B65" s="170" t="s">
        <v>290</v>
      </c>
      <c r="C65" s="185" t="s">
        <v>56</v>
      </c>
      <c r="D65" s="191">
        <f>D66</f>
        <v>1000000000</v>
      </c>
      <c r="E65" s="191">
        <f t="shared" ref="E65:G65" si="23">E66</f>
        <v>244460000</v>
      </c>
      <c r="F65" s="191">
        <f t="shared" si="23"/>
        <v>52500000</v>
      </c>
      <c r="G65" s="191">
        <f t="shared" si="23"/>
        <v>296960000</v>
      </c>
      <c r="H65" s="236">
        <f t="shared" si="21"/>
        <v>0.29696</v>
      </c>
      <c r="I65" s="207"/>
      <c r="J65" s="186"/>
    </row>
    <row r="66" spans="1:10" s="176" customFormat="1" x14ac:dyDescent="0.25">
      <c r="A66" s="188"/>
      <c r="B66" s="178" t="s">
        <v>500</v>
      </c>
      <c r="C66" s="183" t="s">
        <v>56</v>
      </c>
      <c r="D66" s="192">
        <v>1000000000</v>
      </c>
      <c r="E66" s="192">
        <f>'Realisasi Agustus'!H65</f>
        <v>244460000</v>
      </c>
      <c r="F66" s="192">
        <v>52500000</v>
      </c>
      <c r="G66" s="192">
        <f>E66+F66</f>
        <v>296960000</v>
      </c>
      <c r="H66" s="24">
        <f t="shared" si="21"/>
        <v>0.29696</v>
      </c>
      <c r="I66" s="207" t="s">
        <v>57</v>
      </c>
      <c r="J66" s="175"/>
    </row>
    <row r="67" spans="1:10" s="176" customFormat="1" x14ac:dyDescent="0.25">
      <c r="A67" s="188"/>
      <c r="B67" s="170" t="s">
        <v>291</v>
      </c>
      <c r="C67" s="185" t="s">
        <v>292</v>
      </c>
      <c r="D67" s="191">
        <f>D68</f>
        <v>829475000</v>
      </c>
      <c r="E67" s="191">
        <f t="shared" ref="E67:G67" si="24">E68</f>
        <v>93404550</v>
      </c>
      <c r="F67" s="191">
        <f t="shared" si="24"/>
        <v>21502900</v>
      </c>
      <c r="G67" s="191">
        <f t="shared" si="24"/>
        <v>114907450</v>
      </c>
      <c r="H67" s="236">
        <f t="shared" si="21"/>
        <v>0.13853033545314808</v>
      </c>
      <c r="I67" s="207"/>
      <c r="J67" s="175"/>
    </row>
    <row r="68" spans="1:10" s="187" customFormat="1" ht="22.5" customHeight="1" x14ac:dyDescent="0.25">
      <c r="A68" s="169"/>
      <c r="B68" s="178" t="s">
        <v>501</v>
      </c>
      <c r="C68" s="183" t="s">
        <v>292</v>
      </c>
      <c r="D68" s="192">
        <v>829475000</v>
      </c>
      <c r="E68" s="192">
        <f>'Realisasi Agustus'!H67</f>
        <v>93404550</v>
      </c>
      <c r="F68" s="192">
        <v>21502900</v>
      </c>
      <c r="G68" s="192">
        <f>E68+F68</f>
        <v>114907450</v>
      </c>
      <c r="H68" s="24">
        <f t="shared" si="21"/>
        <v>0.13853033545314808</v>
      </c>
      <c r="I68" s="207" t="s">
        <v>58</v>
      </c>
      <c r="J68" s="186"/>
    </row>
    <row r="69" spans="1:10" s="176" customFormat="1" x14ac:dyDescent="0.25">
      <c r="A69" s="169" t="s">
        <v>414</v>
      </c>
      <c r="B69" s="170" t="s">
        <v>285</v>
      </c>
      <c r="C69" s="185" t="s">
        <v>444</v>
      </c>
      <c r="D69" s="191">
        <f>D70+D72+D74</f>
        <v>28168525000</v>
      </c>
      <c r="E69" s="191">
        <f t="shared" ref="E69:G69" si="25">E70+E72+E74</f>
        <v>14773822250</v>
      </c>
      <c r="F69" s="191">
        <f t="shared" si="25"/>
        <v>2098278200</v>
      </c>
      <c r="G69" s="191">
        <f t="shared" si="25"/>
        <v>16872100450</v>
      </c>
      <c r="H69" s="236">
        <f t="shared" si="21"/>
        <v>0.59896996559102755</v>
      </c>
      <c r="I69" s="207" t="s">
        <v>59</v>
      </c>
      <c r="J69" s="175"/>
    </row>
    <row r="70" spans="1:10" s="176" customFormat="1" x14ac:dyDescent="0.25">
      <c r="A70" s="169"/>
      <c r="B70" s="170" t="s">
        <v>293</v>
      </c>
      <c r="C70" s="185" t="s">
        <v>502</v>
      </c>
      <c r="D70" s="191">
        <f>D71</f>
        <v>74722500</v>
      </c>
      <c r="E70" s="191">
        <f t="shared" ref="E70:G70" si="26">E71</f>
        <v>92542000</v>
      </c>
      <c r="F70" s="191">
        <f t="shared" si="26"/>
        <v>4560000</v>
      </c>
      <c r="G70" s="191">
        <f t="shared" si="26"/>
        <v>97102000</v>
      </c>
      <c r="H70" s="236">
        <f t="shared" si="21"/>
        <v>1.2995014888420489</v>
      </c>
      <c r="I70" s="207"/>
      <c r="J70" s="175"/>
    </row>
    <row r="71" spans="1:10" s="176" customFormat="1" x14ac:dyDescent="0.25">
      <c r="A71" s="188"/>
      <c r="B71" s="178" t="s">
        <v>503</v>
      </c>
      <c r="C71" s="183" t="s">
        <v>504</v>
      </c>
      <c r="D71" s="192">
        <v>74722500</v>
      </c>
      <c r="E71" s="192">
        <f>'Realisasi Agustus'!H70</f>
        <v>92542000</v>
      </c>
      <c r="F71" s="192">
        <v>4560000</v>
      </c>
      <c r="G71" s="192">
        <f>E71+F71</f>
        <v>97102000</v>
      </c>
      <c r="H71" s="24">
        <f t="shared" si="21"/>
        <v>1.2995014888420489</v>
      </c>
      <c r="I71" s="207"/>
      <c r="J71" s="175"/>
    </row>
    <row r="72" spans="1:10" s="176" customFormat="1" x14ac:dyDescent="0.25">
      <c r="A72" s="169"/>
      <c r="B72" s="170" t="s">
        <v>294</v>
      </c>
      <c r="C72" s="185" t="s">
        <v>295</v>
      </c>
      <c r="D72" s="191">
        <f>D73</f>
        <v>27808802500</v>
      </c>
      <c r="E72" s="191">
        <f t="shared" ref="E72:G72" si="27">E73</f>
        <v>14616246700</v>
      </c>
      <c r="F72" s="191">
        <f t="shared" si="27"/>
        <v>2077874900</v>
      </c>
      <c r="G72" s="191">
        <f t="shared" si="27"/>
        <v>16694121600</v>
      </c>
      <c r="H72" s="236">
        <f t="shared" si="21"/>
        <v>0.60031788855345358</v>
      </c>
      <c r="I72" s="218"/>
      <c r="J72" s="175"/>
    </row>
    <row r="73" spans="1:10" s="176" customFormat="1" x14ac:dyDescent="0.25">
      <c r="A73" s="188"/>
      <c r="B73" s="178" t="s">
        <v>505</v>
      </c>
      <c r="C73" s="183" t="s">
        <v>295</v>
      </c>
      <c r="D73" s="192">
        <v>27808802500</v>
      </c>
      <c r="E73" s="192">
        <f>'Realisasi Agustus'!H72</f>
        <v>14616246700</v>
      </c>
      <c r="F73" s="192">
        <v>2077874900</v>
      </c>
      <c r="G73" s="192">
        <f>E73+F73</f>
        <v>16694121600</v>
      </c>
      <c r="H73" s="24">
        <f t="shared" si="21"/>
        <v>0.60031788855345358</v>
      </c>
      <c r="I73" s="218"/>
      <c r="J73" s="175"/>
    </row>
    <row r="74" spans="1:10" s="176" customFormat="1" x14ac:dyDescent="0.25">
      <c r="A74" s="188"/>
      <c r="B74" s="170" t="s">
        <v>296</v>
      </c>
      <c r="C74" s="185" t="s">
        <v>297</v>
      </c>
      <c r="D74" s="191">
        <f>SUM(D75)</f>
        <v>285000000</v>
      </c>
      <c r="E74" s="191">
        <f t="shared" ref="E74:G74" si="28">SUM(E75)</f>
        <v>65033550</v>
      </c>
      <c r="F74" s="191">
        <f t="shared" si="28"/>
        <v>15843300</v>
      </c>
      <c r="G74" s="191">
        <f t="shared" si="28"/>
        <v>80876850</v>
      </c>
      <c r="H74" s="24">
        <f t="shared" si="21"/>
        <v>0.28377842105263157</v>
      </c>
      <c r="I74" s="218"/>
      <c r="J74" s="175"/>
    </row>
    <row r="75" spans="1:10" s="176" customFormat="1" x14ac:dyDescent="0.25">
      <c r="A75" s="188"/>
      <c r="B75" s="178" t="s">
        <v>506</v>
      </c>
      <c r="C75" s="183" t="s">
        <v>297</v>
      </c>
      <c r="D75" s="192">
        <v>285000000</v>
      </c>
      <c r="E75" s="192">
        <f>'Realisasi Agustus'!H74</f>
        <v>65033550</v>
      </c>
      <c r="F75" s="192">
        <v>15843300</v>
      </c>
      <c r="G75" s="192">
        <f>E75+F75</f>
        <v>80876850</v>
      </c>
      <c r="H75" s="24">
        <f t="shared" si="21"/>
        <v>0.28377842105263157</v>
      </c>
      <c r="I75" s="218"/>
      <c r="J75" s="175"/>
    </row>
    <row r="76" spans="1:10" s="176" customFormat="1" x14ac:dyDescent="0.25">
      <c r="A76" s="169" t="s">
        <v>415</v>
      </c>
      <c r="B76" s="170" t="s">
        <v>298</v>
      </c>
      <c r="C76" s="185" t="s">
        <v>60</v>
      </c>
      <c r="D76" s="191">
        <f>SUM(D77)</f>
        <v>2000000</v>
      </c>
      <c r="E76" s="191">
        <f>E77</f>
        <v>50000</v>
      </c>
      <c r="F76" s="191">
        <f t="shared" ref="F76:G76" si="29">SUM(F77)</f>
        <v>0</v>
      </c>
      <c r="G76" s="191">
        <f t="shared" si="29"/>
        <v>50000</v>
      </c>
      <c r="H76" s="236">
        <f t="shared" si="21"/>
        <v>2.5000000000000001E-2</v>
      </c>
      <c r="I76" s="207" t="s">
        <v>61</v>
      </c>
      <c r="J76" s="175"/>
    </row>
    <row r="77" spans="1:10" s="187" customFormat="1" x14ac:dyDescent="0.25">
      <c r="A77" s="169"/>
      <c r="B77" s="170" t="s">
        <v>299</v>
      </c>
      <c r="C77" s="185" t="s">
        <v>300</v>
      </c>
      <c r="D77" s="191">
        <f>D78</f>
        <v>2000000</v>
      </c>
      <c r="E77" s="191">
        <f>E78</f>
        <v>50000</v>
      </c>
      <c r="F77" s="191">
        <f t="shared" ref="F77:G77" si="30">F78</f>
        <v>0</v>
      </c>
      <c r="G77" s="191">
        <f t="shared" si="30"/>
        <v>50000</v>
      </c>
      <c r="H77" s="236">
        <f t="shared" si="21"/>
        <v>2.5000000000000001E-2</v>
      </c>
      <c r="I77" s="263"/>
      <c r="J77" s="186"/>
    </row>
    <row r="78" spans="1:10" s="176" customFormat="1" x14ac:dyDescent="0.25">
      <c r="A78" s="188"/>
      <c r="B78" s="178" t="s">
        <v>507</v>
      </c>
      <c r="C78" s="183" t="s">
        <v>300</v>
      </c>
      <c r="D78" s="192">
        <v>2000000</v>
      </c>
      <c r="E78" s="192">
        <f>'Realisasi Agustus'!H77</f>
        <v>50000</v>
      </c>
      <c r="F78" s="192">
        <v>0</v>
      </c>
      <c r="G78" s="192">
        <f>E78+F78</f>
        <v>50000</v>
      </c>
      <c r="H78" s="24">
        <f t="shared" si="21"/>
        <v>2.5000000000000001E-2</v>
      </c>
      <c r="I78" s="219"/>
      <c r="J78" s="175"/>
    </row>
    <row r="79" spans="1:10" s="176" customFormat="1" x14ac:dyDescent="0.25">
      <c r="A79" s="188"/>
      <c r="B79" s="178"/>
      <c r="C79" s="183"/>
      <c r="D79" s="192"/>
      <c r="E79" s="192"/>
      <c r="F79" s="192"/>
      <c r="G79" s="191"/>
      <c r="H79" s="236"/>
      <c r="I79" s="220"/>
      <c r="J79" s="175"/>
    </row>
    <row r="80" spans="1:10" s="176" customFormat="1" x14ac:dyDescent="0.25">
      <c r="A80" s="168" t="s">
        <v>62</v>
      </c>
      <c r="B80" s="22" t="s">
        <v>301</v>
      </c>
      <c r="C80" s="185" t="s">
        <v>63</v>
      </c>
      <c r="D80" s="191">
        <f t="shared" ref="D80:G82" si="31">D81</f>
        <v>25000000</v>
      </c>
      <c r="E80" s="191">
        <f t="shared" si="31"/>
        <v>17029600</v>
      </c>
      <c r="F80" s="191">
        <f t="shared" si="31"/>
        <v>2000000</v>
      </c>
      <c r="G80" s="191">
        <f t="shared" si="31"/>
        <v>19029600</v>
      </c>
      <c r="H80" s="236">
        <f>G80/D80</f>
        <v>0.76118399999999997</v>
      </c>
      <c r="I80" s="209"/>
      <c r="J80" s="175"/>
    </row>
    <row r="81" spans="1:10" s="187" customFormat="1" x14ac:dyDescent="0.25">
      <c r="A81" s="169"/>
      <c r="B81" s="170" t="s">
        <v>285</v>
      </c>
      <c r="C81" s="185" t="s">
        <v>444</v>
      </c>
      <c r="D81" s="191">
        <f t="shared" si="31"/>
        <v>25000000</v>
      </c>
      <c r="E81" s="191">
        <f t="shared" si="31"/>
        <v>17029600</v>
      </c>
      <c r="F81" s="191">
        <f t="shared" si="31"/>
        <v>2000000</v>
      </c>
      <c r="G81" s="191">
        <f t="shared" si="31"/>
        <v>19029600</v>
      </c>
      <c r="H81" s="236">
        <f>G81/D81</f>
        <v>0.76118399999999997</v>
      </c>
      <c r="I81" s="216"/>
      <c r="J81" s="186"/>
    </row>
    <row r="82" spans="1:10" s="187" customFormat="1" x14ac:dyDescent="0.25">
      <c r="A82" s="169"/>
      <c r="B82" s="170" t="s">
        <v>302</v>
      </c>
      <c r="C82" s="185" t="s">
        <v>64</v>
      </c>
      <c r="D82" s="191">
        <f>D83</f>
        <v>25000000</v>
      </c>
      <c r="E82" s="191">
        <f t="shared" si="31"/>
        <v>17029600</v>
      </c>
      <c r="F82" s="191">
        <f t="shared" si="31"/>
        <v>2000000</v>
      </c>
      <c r="G82" s="191">
        <f t="shared" si="31"/>
        <v>19029600</v>
      </c>
      <c r="H82" s="236">
        <f>G82/D82</f>
        <v>0.76118399999999997</v>
      </c>
      <c r="I82" s="216"/>
      <c r="J82" s="186"/>
    </row>
    <row r="83" spans="1:10" s="176" customFormat="1" x14ac:dyDescent="0.25">
      <c r="A83" s="27"/>
      <c r="B83" s="178" t="s">
        <v>508</v>
      </c>
      <c r="C83" s="28" t="s">
        <v>509</v>
      </c>
      <c r="D83" s="192">
        <v>25000000</v>
      </c>
      <c r="E83" s="192">
        <f>'Realisasi Agustus'!H82</f>
        <v>17029600</v>
      </c>
      <c r="F83" s="192">
        <f>'[5]2022'!$G$59</f>
        <v>2000000</v>
      </c>
      <c r="G83" s="192">
        <f>E83+F83</f>
        <v>19029600</v>
      </c>
      <c r="H83" s="24">
        <f>G83/D83</f>
        <v>0.76118399999999997</v>
      </c>
      <c r="I83" s="207" t="s">
        <v>65</v>
      </c>
      <c r="J83" s="175"/>
    </row>
    <row r="84" spans="1:10" s="176" customFormat="1" x14ac:dyDescent="0.25">
      <c r="A84" s="27"/>
      <c r="B84" s="178"/>
      <c r="C84" s="171"/>
      <c r="D84" s="192"/>
      <c r="E84" s="192"/>
      <c r="F84" s="192"/>
      <c r="G84" s="191"/>
      <c r="H84" s="236"/>
      <c r="I84" s="207"/>
      <c r="J84" s="175"/>
    </row>
    <row r="85" spans="1:10" s="176" customFormat="1" hidden="1" x14ac:dyDescent="0.25">
      <c r="A85" s="168" t="s">
        <v>66</v>
      </c>
      <c r="B85" s="22" t="s">
        <v>303</v>
      </c>
      <c r="C85" s="185" t="s">
        <v>67</v>
      </c>
      <c r="D85" s="196">
        <f>SUM(D86)</f>
        <v>0</v>
      </c>
      <c r="E85" s="196"/>
      <c r="F85" s="196">
        <f t="shared" ref="F85:G85" si="32">SUM(F86)</f>
        <v>0</v>
      </c>
      <c r="G85" s="196">
        <f t="shared" si="32"/>
        <v>0</v>
      </c>
      <c r="H85" s="253" t="e">
        <f t="shared" ref="H85:H90" si="33">G85/D85</f>
        <v>#DIV/0!</v>
      </c>
      <c r="I85" s="209"/>
      <c r="J85" s="175"/>
    </row>
    <row r="86" spans="1:10" s="176" customFormat="1" hidden="1" x14ac:dyDescent="0.25">
      <c r="A86" s="27"/>
      <c r="B86" s="170" t="s">
        <v>298</v>
      </c>
      <c r="C86" s="185" t="s">
        <v>60</v>
      </c>
      <c r="D86" s="191">
        <f>D87+D89</f>
        <v>0</v>
      </c>
      <c r="E86" s="191"/>
      <c r="F86" s="191">
        <f t="shared" ref="F86:G86" si="34">F87+F89</f>
        <v>0</v>
      </c>
      <c r="G86" s="191">
        <f t="shared" si="34"/>
        <v>0</v>
      </c>
      <c r="H86" s="253" t="e">
        <f t="shared" si="33"/>
        <v>#DIV/0!</v>
      </c>
      <c r="I86" s="207"/>
      <c r="J86" s="175"/>
    </row>
    <row r="87" spans="1:10" s="187" customFormat="1" hidden="1" x14ac:dyDescent="0.25">
      <c r="A87" s="264"/>
      <c r="B87" s="170" t="s">
        <v>304</v>
      </c>
      <c r="C87" s="185" t="s">
        <v>68</v>
      </c>
      <c r="D87" s="191">
        <f>D88</f>
        <v>0</v>
      </c>
      <c r="E87" s="191"/>
      <c r="F87" s="191">
        <f t="shared" ref="F87:G87" si="35">F88</f>
        <v>0</v>
      </c>
      <c r="G87" s="191">
        <f t="shared" si="35"/>
        <v>0</v>
      </c>
      <c r="H87" s="253" t="e">
        <f t="shared" si="33"/>
        <v>#DIV/0!</v>
      </c>
      <c r="I87" s="216" t="s">
        <v>69</v>
      </c>
      <c r="J87" s="186"/>
    </row>
    <row r="88" spans="1:10" s="176" customFormat="1" hidden="1" x14ac:dyDescent="0.25">
      <c r="A88" s="27"/>
      <c r="B88" s="178" t="s">
        <v>510</v>
      </c>
      <c r="C88" s="183" t="s">
        <v>68</v>
      </c>
      <c r="D88" s="192">
        <v>0</v>
      </c>
      <c r="E88" s="192">
        <f>'Realisasi Agustus'!H87</f>
        <v>0</v>
      </c>
      <c r="F88" s="192"/>
      <c r="G88" s="192">
        <f>E88+F88</f>
        <v>0</v>
      </c>
      <c r="H88" s="252" t="e">
        <f t="shared" si="33"/>
        <v>#DIV/0!</v>
      </c>
      <c r="I88" s="207" t="s">
        <v>69</v>
      </c>
      <c r="J88" s="175"/>
    </row>
    <row r="89" spans="1:10" s="187" customFormat="1" hidden="1" x14ac:dyDescent="0.25">
      <c r="A89" s="264"/>
      <c r="B89" s="170" t="s">
        <v>305</v>
      </c>
      <c r="C89" s="185" t="s">
        <v>70</v>
      </c>
      <c r="D89" s="191">
        <f>D90</f>
        <v>0</v>
      </c>
      <c r="E89" s="191"/>
      <c r="F89" s="191">
        <f t="shared" ref="F89:G89" si="36">F90</f>
        <v>0</v>
      </c>
      <c r="G89" s="191">
        <f t="shared" si="36"/>
        <v>0</v>
      </c>
      <c r="H89" s="253" t="e">
        <f t="shared" si="33"/>
        <v>#DIV/0!</v>
      </c>
      <c r="I89" s="216" t="s">
        <v>71</v>
      </c>
      <c r="J89" s="186"/>
    </row>
    <row r="90" spans="1:10" s="176" customFormat="1" hidden="1" x14ac:dyDescent="0.25">
      <c r="A90" s="27"/>
      <c r="B90" s="178" t="s">
        <v>511</v>
      </c>
      <c r="C90" s="183" t="s">
        <v>70</v>
      </c>
      <c r="D90" s="192">
        <v>0</v>
      </c>
      <c r="E90" s="192">
        <f>'Realisasi Agustus'!H89</f>
        <v>0</v>
      </c>
      <c r="F90" s="192"/>
      <c r="G90" s="192">
        <f>E90+F90</f>
        <v>0</v>
      </c>
      <c r="H90" s="252" t="e">
        <f t="shared" si="33"/>
        <v>#DIV/0!</v>
      </c>
      <c r="I90" s="207" t="s">
        <v>71</v>
      </c>
      <c r="J90" s="175"/>
    </row>
    <row r="91" spans="1:10" s="176" customFormat="1" hidden="1" x14ac:dyDescent="0.25">
      <c r="A91" s="27"/>
      <c r="B91" s="178"/>
      <c r="C91" s="183"/>
      <c r="D91" s="192"/>
      <c r="E91" s="192"/>
      <c r="F91" s="192"/>
      <c r="G91" s="191"/>
      <c r="H91" s="236"/>
      <c r="I91" s="207"/>
      <c r="J91" s="175"/>
    </row>
    <row r="92" spans="1:10" s="176" customFormat="1" ht="24" customHeight="1" x14ac:dyDescent="0.25">
      <c r="A92" s="29" t="s">
        <v>73</v>
      </c>
      <c r="B92" s="22" t="s">
        <v>307</v>
      </c>
      <c r="C92" s="185" t="s">
        <v>82</v>
      </c>
      <c r="D92" s="196">
        <f>D93</f>
        <v>25440000</v>
      </c>
      <c r="E92" s="196">
        <f t="shared" ref="E92:G92" si="37">E93</f>
        <v>13200000</v>
      </c>
      <c r="F92" s="196">
        <f t="shared" si="37"/>
        <v>1200000</v>
      </c>
      <c r="G92" s="196">
        <f t="shared" si="37"/>
        <v>14400000</v>
      </c>
      <c r="H92" s="236">
        <f>G92/D92</f>
        <v>0.56603773584905659</v>
      </c>
      <c r="I92" s="209"/>
      <c r="J92" s="175"/>
    </row>
    <row r="93" spans="1:10" s="187" customFormat="1" x14ac:dyDescent="0.25">
      <c r="A93" s="169"/>
      <c r="B93" s="170" t="s">
        <v>285</v>
      </c>
      <c r="C93" s="185" t="s">
        <v>444</v>
      </c>
      <c r="D93" s="191">
        <f>D95</f>
        <v>25440000</v>
      </c>
      <c r="E93" s="191">
        <f t="shared" ref="E93:F93" si="38">E95</f>
        <v>13200000</v>
      </c>
      <c r="F93" s="191">
        <f t="shared" si="38"/>
        <v>1200000</v>
      </c>
      <c r="G93" s="191">
        <f>G95</f>
        <v>14400000</v>
      </c>
      <c r="H93" s="236">
        <f>G93/D93</f>
        <v>0.56603773584905659</v>
      </c>
      <c r="I93" s="207" t="s">
        <v>83</v>
      </c>
      <c r="J93" s="186"/>
    </row>
    <row r="94" spans="1:10" s="187" customFormat="1" x14ac:dyDescent="0.25">
      <c r="A94" s="169"/>
      <c r="B94" s="170" t="s">
        <v>308</v>
      </c>
      <c r="C94" s="172" t="s">
        <v>309</v>
      </c>
      <c r="D94" s="191">
        <f>D95</f>
        <v>25440000</v>
      </c>
      <c r="E94" s="191">
        <f t="shared" ref="E94:G94" si="39">E95</f>
        <v>13200000</v>
      </c>
      <c r="F94" s="191">
        <f t="shared" si="39"/>
        <v>1200000</v>
      </c>
      <c r="G94" s="191">
        <f t="shared" si="39"/>
        <v>14400000</v>
      </c>
      <c r="H94" s="236">
        <f>G94/D94</f>
        <v>0.56603773584905659</v>
      </c>
      <c r="I94" s="216"/>
      <c r="J94" s="186"/>
    </row>
    <row r="95" spans="1:10" s="176" customFormat="1" x14ac:dyDescent="0.25">
      <c r="A95" s="188"/>
      <c r="B95" s="178" t="s">
        <v>512</v>
      </c>
      <c r="C95" s="171" t="s">
        <v>309</v>
      </c>
      <c r="D95" s="192">
        <v>25440000</v>
      </c>
      <c r="E95" s="192">
        <f>'Realisasi Agustus'!H94</f>
        <v>13200000</v>
      </c>
      <c r="F95" s="192">
        <v>1200000</v>
      </c>
      <c r="G95" s="192">
        <f>E95+F95</f>
        <v>14400000</v>
      </c>
      <c r="H95" s="24">
        <f>G95/D95</f>
        <v>0.56603773584905659</v>
      </c>
      <c r="I95" s="207"/>
      <c r="J95" s="175"/>
    </row>
    <row r="96" spans="1:10" s="176" customFormat="1" x14ac:dyDescent="0.25">
      <c r="A96" s="169"/>
      <c r="B96" s="22"/>
      <c r="C96" s="25"/>
      <c r="D96" s="192"/>
      <c r="E96" s="192"/>
      <c r="F96" s="192"/>
      <c r="G96" s="191"/>
      <c r="H96" s="236"/>
      <c r="I96" s="221"/>
      <c r="J96" s="175"/>
    </row>
    <row r="97" spans="1:11" s="176" customFormat="1" ht="24.75" customHeight="1" x14ac:dyDescent="0.25">
      <c r="A97" s="29" t="s">
        <v>74</v>
      </c>
      <c r="B97" s="22" t="s">
        <v>310</v>
      </c>
      <c r="C97" s="185" t="s">
        <v>682</v>
      </c>
      <c r="D97" s="196">
        <f>D98</f>
        <v>1000000000</v>
      </c>
      <c r="E97" s="196">
        <f t="shared" ref="E97:G97" si="40">E98</f>
        <v>2597100</v>
      </c>
      <c r="F97" s="196">
        <f t="shared" si="40"/>
        <v>23400000</v>
      </c>
      <c r="G97" s="196">
        <f t="shared" si="40"/>
        <v>25997100</v>
      </c>
      <c r="H97" s="236">
        <f>G97/D97</f>
        <v>2.5997099999999999E-2</v>
      </c>
      <c r="I97" s="207"/>
      <c r="J97" s="175"/>
    </row>
    <row r="98" spans="1:11" s="187" customFormat="1" x14ac:dyDescent="0.25">
      <c r="A98" s="169"/>
      <c r="B98" s="170" t="s">
        <v>288</v>
      </c>
      <c r="C98" s="185" t="s">
        <v>55</v>
      </c>
      <c r="D98" s="191">
        <f>D99</f>
        <v>1000000000</v>
      </c>
      <c r="E98" s="191">
        <f t="shared" ref="E98" si="41">E99</f>
        <v>2597100</v>
      </c>
      <c r="F98" s="191">
        <f t="shared" ref="F98:G99" si="42">F99</f>
        <v>23400000</v>
      </c>
      <c r="G98" s="191">
        <f t="shared" si="42"/>
        <v>25997100</v>
      </c>
      <c r="H98" s="236">
        <f>G98/D98</f>
        <v>2.5997099999999999E-2</v>
      </c>
      <c r="I98" s="216" t="s">
        <v>85</v>
      </c>
      <c r="J98" s="186"/>
    </row>
    <row r="99" spans="1:11" s="187" customFormat="1" x14ac:dyDescent="0.25">
      <c r="A99" s="169"/>
      <c r="B99" s="170" t="s">
        <v>311</v>
      </c>
      <c r="C99" s="185" t="s">
        <v>312</v>
      </c>
      <c r="D99" s="191">
        <f>D100</f>
        <v>1000000000</v>
      </c>
      <c r="E99" s="191">
        <f t="shared" ref="E99" si="43">E100</f>
        <v>2597100</v>
      </c>
      <c r="F99" s="191">
        <f t="shared" si="42"/>
        <v>23400000</v>
      </c>
      <c r="G99" s="191">
        <f t="shared" si="42"/>
        <v>25997100</v>
      </c>
      <c r="H99" s="236">
        <f>G99/D99</f>
        <v>2.5997099999999999E-2</v>
      </c>
      <c r="I99" s="216"/>
      <c r="J99" s="186"/>
    </row>
    <row r="100" spans="1:11" s="176" customFormat="1" x14ac:dyDescent="0.25">
      <c r="A100" s="188"/>
      <c r="B100" s="178" t="s">
        <v>513</v>
      </c>
      <c r="C100" s="183" t="s">
        <v>312</v>
      </c>
      <c r="D100" s="192">
        <v>1000000000</v>
      </c>
      <c r="E100" s="192">
        <f>'Realisasi Agustus'!H99</f>
        <v>2597100</v>
      </c>
      <c r="F100" s="192">
        <v>23400000</v>
      </c>
      <c r="G100" s="192">
        <f>E100+F100</f>
        <v>25997100</v>
      </c>
      <c r="H100" s="24">
        <f>G100/D100</f>
        <v>2.5997099999999999E-2</v>
      </c>
      <c r="I100" s="207"/>
      <c r="J100" s="175"/>
    </row>
    <row r="101" spans="1:11" s="176" customFormat="1" x14ac:dyDescent="0.25">
      <c r="A101" s="188"/>
      <c r="B101" s="178"/>
      <c r="C101" s="183"/>
      <c r="D101" s="192"/>
      <c r="E101" s="192"/>
      <c r="F101" s="192"/>
      <c r="G101" s="191"/>
      <c r="H101" s="236"/>
      <c r="I101" s="207"/>
      <c r="J101" s="175"/>
    </row>
    <row r="102" spans="1:11" s="176" customFormat="1" ht="41.25" customHeight="1" x14ac:dyDescent="0.25">
      <c r="A102" s="168" t="s">
        <v>86</v>
      </c>
      <c r="B102" s="189" t="s">
        <v>313</v>
      </c>
      <c r="C102" s="30" t="s">
        <v>87</v>
      </c>
      <c r="D102" s="196">
        <f>SUM(D103)</f>
        <v>1663748324</v>
      </c>
      <c r="E102" s="196">
        <f t="shared" ref="E102:G102" si="44">SUM(E103)</f>
        <v>1079761191</v>
      </c>
      <c r="F102" s="196">
        <f t="shared" si="44"/>
        <v>0</v>
      </c>
      <c r="G102" s="196">
        <f t="shared" si="44"/>
        <v>1079761191</v>
      </c>
      <c r="H102" s="236">
        <f>G102/D102</f>
        <v>0.64899310516149922</v>
      </c>
      <c r="I102" s="209"/>
      <c r="J102" s="175"/>
    </row>
    <row r="103" spans="1:11" s="176" customFormat="1" ht="32.25" customHeight="1" x14ac:dyDescent="0.25">
      <c r="A103" s="188"/>
      <c r="B103" s="189" t="s">
        <v>314</v>
      </c>
      <c r="C103" s="30" t="s">
        <v>88</v>
      </c>
      <c r="D103" s="191">
        <f>SUM(D104:D106)</f>
        <v>1663748324</v>
      </c>
      <c r="E103" s="191">
        <f t="shared" ref="E103:G103" si="45">SUM(E104:E106)</f>
        <v>1079761191</v>
      </c>
      <c r="F103" s="191">
        <f t="shared" si="45"/>
        <v>0</v>
      </c>
      <c r="G103" s="191">
        <f t="shared" si="45"/>
        <v>1079761191</v>
      </c>
      <c r="H103" s="236">
        <f>G103/D103</f>
        <v>0.64899310516149922</v>
      </c>
      <c r="I103" s="209"/>
      <c r="J103" s="175"/>
    </row>
    <row r="104" spans="1:11" s="176" customFormat="1" x14ac:dyDescent="0.25">
      <c r="A104" s="184" t="s">
        <v>89</v>
      </c>
      <c r="B104" s="190" t="s">
        <v>314</v>
      </c>
      <c r="C104" s="183" t="s">
        <v>90</v>
      </c>
      <c r="D104" s="192">
        <v>895097348</v>
      </c>
      <c r="E104" s="192">
        <f>'Realisasi Agustus'!H103</f>
        <v>1079761191</v>
      </c>
      <c r="F104" s="192"/>
      <c r="G104" s="192">
        <f>E104+F104</f>
        <v>1079761191</v>
      </c>
      <c r="H104" s="24">
        <f>G104/D104</f>
        <v>1.206305876576008</v>
      </c>
      <c r="I104" s="207"/>
      <c r="J104" s="175"/>
    </row>
    <row r="105" spans="1:11" s="176" customFormat="1" x14ac:dyDescent="0.25">
      <c r="A105" s="184" t="s">
        <v>91</v>
      </c>
      <c r="B105" s="190" t="s">
        <v>314</v>
      </c>
      <c r="C105" s="183" t="s">
        <v>92</v>
      </c>
      <c r="D105" s="192">
        <v>455948308</v>
      </c>
      <c r="E105" s="192">
        <f>'Realisasi Agustus'!H104</f>
        <v>0</v>
      </c>
      <c r="F105" s="192"/>
      <c r="G105" s="192">
        <f t="shared" ref="G105:G106" si="46">E105+F105</f>
        <v>0</v>
      </c>
      <c r="H105" s="24">
        <f>G105/D105</f>
        <v>0</v>
      </c>
      <c r="I105" s="207" t="s">
        <v>93</v>
      </c>
      <c r="J105" s="175"/>
    </row>
    <row r="106" spans="1:11" s="176" customFormat="1" x14ac:dyDescent="0.25">
      <c r="A106" s="184" t="s">
        <v>72</v>
      </c>
      <c r="B106" s="190" t="s">
        <v>314</v>
      </c>
      <c r="C106" s="183" t="s">
        <v>94</v>
      </c>
      <c r="D106" s="192">
        <v>312702668</v>
      </c>
      <c r="E106" s="192">
        <f>'Realisasi Agustus'!H105</f>
        <v>0</v>
      </c>
      <c r="F106" s="192"/>
      <c r="G106" s="192">
        <f t="shared" si="46"/>
        <v>0</v>
      </c>
      <c r="H106" s="24">
        <f>G106/D106</f>
        <v>0</v>
      </c>
      <c r="I106" s="207"/>
      <c r="J106" s="175"/>
    </row>
    <row r="107" spans="1:11" s="176" customFormat="1" x14ac:dyDescent="0.25">
      <c r="A107" s="188"/>
      <c r="B107" s="178"/>
      <c r="C107" s="183"/>
      <c r="D107" s="192"/>
      <c r="E107" s="192"/>
      <c r="F107" s="192"/>
      <c r="G107" s="191"/>
      <c r="H107" s="236"/>
      <c r="I107" s="207"/>
      <c r="J107" s="175"/>
    </row>
    <row r="108" spans="1:11" s="176" customFormat="1" ht="21" customHeight="1" x14ac:dyDescent="0.25">
      <c r="A108" s="169" t="s">
        <v>95</v>
      </c>
      <c r="B108" s="189" t="s">
        <v>315</v>
      </c>
      <c r="C108" s="185" t="s">
        <v>96</v>
      </c>
      <c r="D108" s="191">
        <f>SUM(D110+D121+D125+D129+D142+D144+D157+D159+D166+D206+D220+D226+D115+D118+D138)</f>
        <v>171911765691</v>
      </c>
      <c r="E108" s="191">
        <f>SUM(E110+E121+E125+E129+E142+E144+E157+E159+E166+E206+E220+E226+E115+E118+E138)</f>
        <v>136327807708.59999</v>
      </c>
      <c r="F108" s="191">
        <f>SUM(F110+F121+F125+F129+F142+F144+F157+F159+F166+F206+F220+F226+F115+F118+F138)</f>
        <v>12041166866.75</v>
      </c>
      <c r="G108" s="191">
        <f>SUM(G110+G121+G125+G129+G142+G144+G157+G159+G166+G206+G220+G226+G115+G118+G138)</f>
        <v>148368974575.35001</v>
      </c>
      <c r="H108" s="236">
        <f>G108/D108</f>
        <v>0.86305305503076157</v>
      </c>
      <c r="I108" s="209"/>
      <c r="J108" s="175"/>
      <c r="K108" s="270"/>
    </row>
    <row r="109" spans="1:11" s="176" customFormat="1" x14ac:dyDescent="0.25">
      <c r="A109" s="169"/>
      <c r="B109" s="31"/>
      <c r="C109" s="32"/>
      <c r="D109" s="192"/>
      <c r="E109" s="192"/>
      <c r="F109" s="192"/>
      <c r="G109" s="191"/>
      <c r="H109" s="236"/>
      <c r="I109" s="209"/>
      <c r="J109" s="175"/>
    </row>
    <row r="110" spans="1:11" s="176" customFormat="1" x14ac:dyDescent="0.25">
      <c r="A110" s="168" t="s">
        <v>19</v>
      </c>
      <c r="B110" s="189" t="s">
        <v>587</v>
      </c>
      <c r="C110" s="180" t="s">
        <v>589</v>
      </c>
      <c r="D110" s="191">
        <f>D112</f>
        <v>3029424600</v>
      </c>
      <c r="E110" s="191"/>
      <c r="F110" s="191">
        <f t="shared" ref="F110" si="47">F112</f>
        <v>880302000</v>
      </c>
      <c r="G110" s="191">
        <f>G112</f>
        <v>880302000</v>
      </c>
      <c r="H110" s="236">
        <f>G110/D110</f>
        <v>0.29058389504066218</v>
      </c>
      <c r="I110" s="209"/>
      <c r="J110" s="175"/>
    </row>
    <row r="111" spans="1:11" s="176" customFormat="1" x14ac:dyDescent="0.25">
      <c r="A111" s="168"/>
      <c r="B111" s="189" t="s">
        <v>588</v>
      </c>
      <c r="C111" s="180" t="s">
        <v>589</v>
      </c>
      <c r="D111" s="191"/>
      <c r="E111" s="191"/>
      <c r="F111" s="192"/>
      <c r="G111" s="191"/>
      <c r="H111" s="236"/>
      <c r="I111" s="209"/>
      <c r="J111" s="175"/>
    </row>
    <row r="112" spans="1:11" s="176" customFormat="1" x14ac:dyDescent="0.25">
      <c r="A112" s="168"/>
      <c r="B112" s="189" t="s">
        <v>584</v>
      </c>
      <c r="C112" s="180" t="s">
        <v>585</v>
      </c>
      <c r="D112" s="191">
        <f>D113</f>
        <v>3029424600</v>
      </c>
      <c r="E112" s="191"/>
      <c r="F112" s="191">
        <f t="shared" ref="F112:G112" si="48">F113</f>
        <v>880302000</v>
      </c>
      <c r="G112" s="191">
        <f t="shared" si="48"/>
        <v>880302000</v>
      </c>
      <c r="H112" s="236">
        <f>G112/D112</f>
        <v>0.29058389504066218</v>
      </c>
      <c r="I112" s="209"/>
      <c r="J112" s="175"/>
    </row>
    <row r="113" spans="1:10" s="176" customFormat="1" x14ac:dyDescent="0.25">
      <c r="A113" s="168"/>
      <c r="B113" s="190"/>
      <c r="C113" s="33" t="s">
        <v>586</v>
      </c>
      <c r="D113" s="192">
        <v>3029424600</v>
      </c>
      <c r="E113" s="192">
        <f>'Realisasi Agustus'!H112</f>
        <v>0</v>
      </c>
      <c r="F113" s="192">
        <v>880302000</v>
      </c>
      <c r="G113" s="192">
        <f>E113+F113</f>
        <v>880302000</v>
      </c>
      <c r="H113" s="24">
        <f>G113/D113</f>
        <v>0.29058389504066218</v>
      </c>
      <c r="I113" s="209"/>
      <c r="J113" s="175"/>
    </row>
    <row r="114" spans="1:10" s="176" customFormat="1" x14ac:dyDescent="0.25">
      <c r="A114" s="169"/>
      <c r="B114" s="31"/>
      <c r="C114" s="32"/>
      <c r="D114" s="192"/>
      <c r="E114" s="192"/>
      <c r="F114" s="192"/>
      <c r="G114" s="191"/>
      <c r="H114" s="24"/>
      <c r="I114" s="209"/>
      <c r="J114" s="175"/>
    </row>
    <row r="115" spans="1:10" s="176" customFormat="1" x14ac:dyDescent="0.25">
      <c r="A115" s="168"/>
      <c r="B115" s="190" t="s">
        <v>590</v>
      </c>
      <c r="C115" s="172" t="s">
        <v>581</v>
      </c>
      <c r="D115" s="191">
        <f>SUM(D116)</f>
        <v>20000000</v>
      </c>
      <c r="E115" s="191">
        <f>E116</f>
        <v>193993000</v>
      </c>
      <c r="F115" s="191">
        <f t="shared" ref="F115:G115" si="49">SUM(F116)</f>
        <v>0</v>
      </c>
      <c r="G115" s="191">
        <f t="shared" si="49"/>
        <v>193993000</v>
      </c>
      <c r="H115" s="236">
        <f t="shared" ref="H115:H116" si="50">G115/D115</f>
        <v>9.6996500000000001</v>
      </c>
      <c r="I115" s="207"/>
      <c r="J115" s="175"/>
    </row>
    <row r="116" spans="1:10" s="176" customFormat="1" x14ac:dyDescent="0.25">
      <c r="A116" s="168"/>
      <c r="B116" s="189"/>
      <c r="C116" s="193" t="s">
        <v>622</v>
      </c>
      <c r="D116" s="192">
        <v>20000000</v>
      </c>
      <c r="E116" s="192">
        <f>'Realisasi Agustus'!H115</f>
        <v>193993000</v>
      </c>
      <c r="F116" s="192">
        <v>0</v>
      </c>
      <c r="G116" s="192">
        <f>E116+F116</f>
        <v>193993000</v>
      </c>
      <c r="H116" s="24">
        <f t="shared" si="50"/>
        <v>9.6996500000000001</v>
      </c>
      <c r="I116" s="207"/>
      <c r="J116" s="175"/>
    </row>
    <row r="117" spans="1:10" s="176" customFormat="1" x14ac:dyDescent="0.25">
      <c r="A117" s="168"/>
      <c r="B117" s="189"/>
      <c r="C117" s="193"/>
      <c r="D117" s="192"/>
      <c r="E117" s="192"/>
      <c r="F117" s="192"/>
      <c r="G117" s="192"/>
      <c r="H117" s="236"/>
      <c r="I117" s="207"/>
      <c r="J117" s="175"/>
    </row>
    <row r="118" spans="1:10" s="176" customFormat="1" x14ac:dyDescent="0.25">
      <c r="A118" s="169"/>
      <c r="B118" s="190" t="s">
        <v>318</v>
      </c>
      <c r="C118" s="172" t="s">
        <v>319</v>
      </c>
      <c r="D118" s="191">
        <f>SUM(D119:D119)</f>
        <v>801206585</v>
      </c>
      <c r="E118" s="191">
        <f>SUM(E119:E119)</f>
        <v>790197335</v>
      </c>
      <c r="F118" s="191">
        <f>SUM(F119:F119)</f>
        <v>33000000</v>
      </c>
      <c r="G118" s="191">
        <f>SUM(G119:G119)</f>
        <v>823197335</v>
      </c>
      <c r="H118" s="236">
        <f>G118/D118</f>
        <v>1.0274470410150212</v>
      </c>
      <c r="I118" s="209"/>
      <c r="J118" s="175"/>
    </row>
    <row r="119" spans="1:10" s="176" customFormat="1" x14ac:dyDescent="0.25">
      <c r="A119" s="169"/>
      <c r="B119" s="190"/>
      <c r="C119" s="193" t="s">
        <v>670</v>
      </c>
      <c r="D119" s="192">
        <v>801206585</v>
      </c>
      <c r="E119" s="192">
        <f>'Realisasi Agustus'!H118</f>
        <v>790197335</v>
      </c>
      <c r="F119" s="192">
        <v>33000000</v>
      </c>
      <c r="G119" s="192">
        <f t="shared" ref="G119" si="51">E119+F119</f>
        <v>823197335</v>
      </c>
      <c r="H119" s="24">
        <f t="shared" ref="H119" si="52">G119/D119</f>
        <v>1.0274470410150212</v>
      </c>
      <c r="I119" s="209"/>
      <c r="J119" s="175"/>
    </row>
    <row r="120" spans="1:10" s="176" customFormat="1" x14ac:dyDescent="0.25">
      <c r="A120" s="169"/>
      <c r="B120" s="190"/>
      <c r="C120" s="193"/>
      <c r="D120" s="192"/>
      <c r="E120" s="192"/>
      <c r="F120" s="192"/>
      <c r="G120" s="191"/>
      <c r="H120" s="236"/>
      <c r="I120" s="209"/>
      <c r="J120" s="175"/>
    </row>
    <row r="121" spans="1:10" s="176" customFormat="1" x14ac:dyDescent="0.25">
      <c r="A121" s="168" t="s">
        <v>46</v>
      </c>
      <c r="B121" s="189" t="s">
        <v>342</v>
      </c>
      <c r="C121" s="185" t="s">
        <v>343</v>
      </c>
      <c r="D121" s="191">
        <f>D122</f>
        <v>1000000000</v>
      </c>
      <c r="E121" s="191"/>
      <c r="F121" s="191">
        <f t="shared" ref="F121:G122" si="53">F122</f>
        <v>0</v>
      </c>
      <c r="G121" s="191">
        <f t="shared" si="53"/>
        <v>0</v>
      </c>
      <c r="H121" s="236">
        <f>G121/D121</f>
        <v>0</v>
      </c>
      <c r="I121" s="209"/>
      <c r="J121" s="175"/>
    </row>
    <row r="122" spans="1:10" s="187" customFormat="1" x14ac:dyDescent="0.25">
      <c r="A122" s="169"/>
      <c r="B122" s="189" t="s">
        <v>344</v>
      </c>
      <c r="C122" s="185" t="s">
        <v>349</v>
      </c>
      <c r="D122" s="191">
        <f>D123</f>
        <v>1000000000</v>
      </c>
      <c r="E122" s="191"/>
      <c r="F122" s="191">
        <f t="shared" si="53"/>
        <v>0</v>
      </c>
      <c r="G122" s="191">
        <f t="shared" si="53"/>
        <v>0</v>
      </c>
      <c r="H122" s="236">
        <f>G122/D122</f>
        <v>0</v>
      </c>
      <c r="I122" s="210"/>
      <c r="J122" s="186"/>
    </row>
    <row r="123" spans="1:10" s="176" customFormat="1" x14ac:dyDescent="0.25">
      <c r="A123" s="169"/>
      <c r="B123" s="190" t="s">
        <v>730</v>
      </c>
      <c r="C123" s="171" t="s">
        <v>162</v>
      </c>
      <c r="D123" s="192">
        <v>1000000000</v>
      </c>
      <c r="E123" s="192">
        <f>'Realisasi Agustus'!H122</f>
        <v>0</v>
      </c>
      <c r="F123" s="192"/>
      <c r="G123" s="192">
        <f>E123+F123</f>
        <v>0</v>
      </c>
      <c r="H123" s="24">
        <f>G123/D123</f>
        <v>0</v>
      </c>
      <c r="I123" s="209"/>
      <c r="J123" s="175"/>
    </row>
    <row r="124" spans="1:10" s="176" customFormat="1" x14ac:dyDescent="0.25">
      <c r="A124" s="169"/>
      <c r="B124" s="190"/>
      <c r="C124" s="193"/>
      <c r="D124" s="192"/>
      <c r="E124" s="192"/>
      <c r="F124" s="192"/>
      <c r="G124" s="191"/>
      <c r="H124" s="236"/>
      <c r="I124" s="209"/>
      <c r="J124" s="175"/>
    </row>
    <row r="125" spans="1:10" s="176" customFormat="1" x14ac:dyDescent="0.25">
      <c r="A125" s="168" t="s">
        <v>8</v>
      </c>
      <c r="B125" s="189" t="s">
        <v>320</v>
      </c>
      <c r="C125" s="185" t="s">
        <v>97</v>
      </c>
      <c r="D125" s="196">
        <f>SUM(D126:D127)</f>
        <v>2750000000</v>
      </c>
      <c r="E125" s="196">
        <f t="shared" ref="E125:G125" si="54">SUM(E126:E127)</f>
        <v>2160233975.0299997</v>
      </c>
      <c r="F125" s="196">
        <f t="shared" si="54"/>
        <v>345260064.81999999</v>
      </c>
      <c r="G125" s="196">
        <f t="shared" si="54"/>
        <v>2505494039.8499999</v>
      </c>
      <c r="H125" s="236">
        <f>G125/D125</f>
        <v>0.9110887417636363</v>
      </c>
      <c r="I125" s="207"/>
      <c r="J125" s="175"/>
    </row>
    <row r="126" spans="1:10" s="176" customFormat="1" x14ac:dyDescent="0.25">
      <c r="A126" s="188"/>
      <c r="B126" s="190" t="s">
        <v>514</v>
      </c>
      <c r="C126" s="183" t="s">
        <v>515</v>
      </c>
      <c r="D126" s="192">
        <v>2500000000</v>
      </c>
      <c r="E126" s="192">
        <f>'Realisasi Agustus'!H125</f>
        <v>2110372713.03</v>
      </c>
      <c r="F126" s="192">
        <v>330867417.81999999</v>
      </c>
      <c r="G126" s="192">
        <f>E126+F126</f>
        <v>2441240130.8499999</v>
      </c>
      <c r="H126" s="24">
        <f>G126/D126</f>
        <v>0.97649605233999992</v>
      </c>
      <c r="I126" s="207"/>
      <c r="J126" s="175"/>
    </row>
    <row r="127" spans="1:10" s="176" customFormat="1" x14ac:dyDescent="0.25">
      <c r="A127" s="188"/>
      <c r="B127" s="190" t="s">
        <v>517</v>
      </c>
      <c r="C127" s="183" t="s">
        <v>516</v>
      </c>
      <c r="D127" s="192">
        <v>250000000</v>
      </c>
      <c r="E127" s="192">
        <f>'Realisasi Agustus'!H126</f>
        <v>49861262</v>
      </c>
      <c r="F127" s="192">
        <v>14392647</v>
      </c>
      <c r="G127" s="192">
        <f>E127+F127</f>
        <v>64253909</v>
      </c>
      <c r="H127" s="24">
        <f>G127/D127</f>
        <v>0.25701563599999999</v>
      </c>
      <c r="I127" s="207"/>
      <c r="J127" s="175"/>
    </row>
    <row r="128" spans="1:10" s="176" customFormat="1" x14ac:dyDescent="0.25">
      <c r="A128" s="188"/>
      <c r="B128" s="178"/>
      <c r="C128" s="183"/>
      <c r="D128" s="192"/>
      <c r="E128" s="192"/>
      <c r="F128" s="192"/>
      <c r="G128" s="191"/>
      <c r="H128" s="236"/>
      <c r="I128" s="207"/>
      <c r="J128" s="175"/>
    </row>
    <row r="129" spans="1:11" s="176" customFormat="1" x14ac:dyDescent="0.25">
      <c r="A129" s="168" t="s">
        <v>49</v>
      </c>
      <c r="B129" s="189" t="s">
        <v>321</v>
      </c>
      <c r="C129" s="180" t="s">
        <v>98</v>
      </c>
      <c r="D129" s="196">
        <f>D130</f>
        <v>3100000000</v>
      </c>
      <c r="E129" s="196">
        <f t="shared" ref="E129:G130" si="55">E130</f>
        <v>469827305.64999998</v>
      </c>
      <c r="F129" s="196">
        <f t="shared" si="55"/>
        <v>74283458.289999992</v>
      </c>
      <c r="G129" s="196">
        <f t="shared" si="55"/>
        <v>544110763.93999994</v>
      </c>
      <c r="H129" s="236">
        <f t="shared" ref="H129:H135" si="56">G129/D129</f>
        <v>0.17551960127096772</v>
      </c>
      <c r="I129" s="207"/>
      <c r="J129" s="175"/>
      <c r="K129" s="270"/>
    </row>
    <row r="130" spans="1:11" s="176" customFormat="1" x14ac:dyDescent="0.25">
      <c r="A130" s="168"/>
      <c r="B130" s="189" t="s">
        <v>322</v>
      </c>
      <c r="C130" s="180" t="s">
        <v>323</v>
      </c>
      <c r="D130" s="196">
        <f>D131</f>
        <v>3100000000</v>
      </c>
      <c r="E130" s="196">
        <f t="shared" si="55"/>
        <v>469827305.64999998</v>
      </c>
      <c r="F130" s="196">
        <f t="shared" si="55"/>
        <v>74283458.289999992</v>
      </c>
      <c r="G130" s="196">
        <f t="shared" si="55"/>
        <v>544110763.93999994</v>
      </c>
      <c r="H130" s="236">
        <f t="shared" si="56"/>
        <v>0.17551960127096772</v>
      </c>
      <c r="I130" s="207"/>
      <c r="J130" s="175"/>
    </row>
    <row r="131" spans="1:11" s="176" customFormat="1" x14ac:dyDescent="0.25">
      <c r="A131" s="168"/>
      <c r="B131" s="189" t="s">
        <v>518</v>
      </c>
      <c r="C131" s="180" t="s">
        <v>323</v>
      </c>
      <c r="D131" s="196">
        <f>SUM(D132:D136)</f>
        <v>3100000000</v>
      </c>
      <c r="E131" s="196">
        <f>'Realisasi Agustus'!H130</f>
        <v>469827305.64999998</v>
      </c>
      <c r="F131" s="196">
        <f t="shared" ref="F131" si="57">SUM(F132:F136)</f>
        <v>74283458.289999992</v>
      </c>
      <c r="G131" s="196">
        <f>E131+F131</f>
        <v>544110763.93999994</v>
      </c>
      <c r="H131" s="236">
        <f t="shared" si="56"/>
        <v>0.17551960127096772</v>
      </c>
      <c r="I131" s="207"/>
      <c r="J131" s="175"/>
    </row>
    <row r="132" spans="1:11" s="176" customFormat="1" x14ac:dyDescent="0.25">
      <c r="A132" s="169"/>
      <c r="B132" s="177"/>
      <c r="C132" s="193" t="s">
        <v>324</v>
      </c>
      <c r="D132" s="181">
        <v>1200000000</v>
      </c>
      <c r="E132" s="181">
        <f>'Realisasi Agustus'!H131</f>
        <v>161164210</v>
      </c>
      <c r="F132" s="181"/>
      <c r="G132" s="192">
        <f>E132+F132</f>
        <v>161164210</v>
      </c>
      <c r="H132" s="24">
        <f t="shared" si="56"/>
        <v>0.13430350833333332</v>
      </c>
      <c r="I132" s="207"/>
      <c r="J132" s="175"/>
    </row>
    <row r="133" spans="1:11" s="176" customFormat="1" x14ac:dyDescent="0.25">
      <c r="A133" s="169"/>
      <c r="B133" s="177"/>
      <c r="C133" s="193" t="s">
        <v>325</v>
      </c>
      <c r="D133" s="181">
        <v>600000000</v>
      </c>
      <c r="E133" s="181">
        <f>'Realisasi Agustus'!H132</f>
        <v>66926368.979999997</v>
      </c>
      <c r="F133" s="181">
        <v>11009480.25</v>
      </c>
      <c r="G133" s="192">
        <f t="shared" ref="G133:G136" si="58">E133+F133</f>
        <v>77935849.229999989</v>
      </c>
      <c r="H133" s="24">
        <f t="shared" si="56"/>
        <v>0.12989308204999997</v>
      </c>
      <c r="I133" s="207"/>
      <c r="J133" s="175"/>
    </row>
    <row r="134" spans="1:11" s="176" customFormat="1" x14ac:dyDescent="0.25">
      <c r="A134" s="169"/>
      <c r="B134" s="178"/>
      <c r="C134" s="193" t="s">
        <v>578</v>
      </c>
      <c r="D134" s="181">
        <v>0</v>
      </c>
      <c r="E134" s="181">
        <f>'Realisasi Agustus'!H133</f>
        <v>28047945</v>
      </c>
      <c r="F134" s="181">
        <v>9554795</v>
      </c>
      <c r="G134" s="192">
        <f t="shared" si="58"/>
        <v>37602740</v>
      </c>
      <c r="H134" s="252" t="e">
        <f t="shared" si="56"/>
        <v>#DIV/0!</v>
      </c>
      <c r="I134" s="207"/>
      <c r="J134" s="175"/>
    </row>
    <row r="135" spans="1:11" s="176" customFormat="1" x14ac:dyDescent="0.25">
      <c r="A135" s="169"/>
      <c r="B135" s="178"/>
      <c r="C135" s="193" t="s">
        <v>326</v>
      </c>
      <c r="D135" s="181">
        <v>800000000</v>
      </c>
      <c r="E135" s="181">
        <f>'Realisasi Agustus'!H134</f>
        <v>138821928</v>
      </c>
      <c r="F135" s="181">
        <f>8493163+8493163+9979458+3821905+3821905</f>
        <v>34609594</v>
      </c>
      <c r="G135" s="192">
        <f t="shared" si="58"/>
        <v>173431522</v>
      </c>
      <c r="H135" s="24">
        <f t="shared" si="56"/>
        <v>0.21678940250000001</v>
      </c>
      <c r="I135" s="207"/>
      <c r="J135" s="175"/>
    </row>
    <row r="136" spans="1:11" s="176" customFormat="1" x14ac:dyDescent="0.25">
      <c r="A136" s="169"/>
      <c r="B136" s="178"/>
      <c r="C136" s="193" t="s">
        <v>687</v>
      </c>
      <c r="D136" s="181">
        <v>500000000</v>
      </c>
      <c r="E136" s="181">
        <f>'Realisasi Agustus'!H135</f>
        <v>37910958.899999999</v>
      </c>
      <c r="F136" s="181">
        <f>9554794.52+9554794.52</f>
        <v>19109589.039999999</v>
      </c>
      <c r="G136" s="192">
        <f t="shared" si="58"/>
        <v>57020547.939999998</v>
      </c>
      <c r="H136" s="24"/>
      <c r="I136" s="207"/>
      <c r="J136" s="175"/>
    </row>
    <row r="137" spans="1:11" s="176" customFormat="1" x14ac:dyDescent="0.25">
      <c r="A137" s="169"/>
      <c r="B137" s="170"/>
      <c r="C137" s="185"/>
      <c r="D137" s="191"/>
      <c r="E137" s="191"/>
      <c r="F137" s="191"/>
      <c r="G137" s="192"/>
      <c r="H137" s="24"/>
      <c r="I137" s="207"/>
      <c r="J137" s="175"/>
    </row>
    <row r="138" spans="1:11" s="176" customFormat="1" x14ac:dyDescent="0.25">
      <c r="A138" s="168" t="s">
        <v>53</v>
      </c>
      <c r="B138" s="189" t="s">
        <v>623</v>
      </c>
      <c r="C138" s="180" t="s">
        <v>626</v>
      </c>
      <c r="D138" s="196">
        <f>D139</f>
        <v>0</v>
      </c>
      <c r="E138" s="196">
        <f t="shared" ref="E138:G139" si="59">E139</f>
        <v>1242549075.9699998</v>
      </c>
      <c r="F138" s="196">
        <f t="shared" si="59"/>
        <v>17872365.600000001</v>
      </c>
      <c r="G138" s="196">
        <f t="shared" si="59"/>
        <v>1260421441.5699997</v>
      </c>
      <c r="H138" s="253" t="e">
        <f>G138/D138</f>
        <v>#DIV/0!</v>
      </c>
      <c r="I138" s="207"/>
      <c r="J138" s="175"/>
    </row>
    <row r="139" spans="1:11" s="176" customFormat="1" x14ac:dyDescent="0.25">
      <c r="A139" s="169"/>
      <c r="B139" s="189" t="s">
        <v>624</v>
      </c>
      <c r="C139" s="180" t="s">
        <v>626</v>
      </c>
      <c r="D139" s="196">
        <f>D140</f>
        <v>0</v>
      </c>
      <c r="E139" s="196">
        <f t="shared" si="59"/>
        <v>1242549075.9699998</v>
      </c>
      <c r="F139" s="196">
        <f t="shared" si="59"/>
        <v>17872365.600000001</v>
      </c>
      <c r="G139" s="196">
        <f t="shared" si="59"/>
        <v>1260421441.5699997</v>
      </c>
      <c r="H139" s="253" t="e">
        <f>G139/D139</f>
        <v>#DIV/0!</v>
      </c>
      <c r="I139" s="207"/>
      <c r="J139" s="175"/>
    </row>
    <row r="140" spans="1:11" s="176" customFormat="1" x14ac:dyDescent="0.25">
      <c r="A140" s="188"/>
      <c r="B140" s="190" t="s">
        <v>625</v>
      </c>
      <c r="C140" s="33" t="s">
        <v>626</v>
      </c>
      <c r="D140" s="181">
        <v>0</v>
      </c>
      <c r="E140" s="181">
        <f>'Realisasi Agustus'!H139</f>
        <v>1242549075.9699998</v>
      </c>
      <c r="F140" s="181">
        <v>17872365.600000001</v>
      </c>
      <c r="G140" s="181">
        <f>E140+F140</f>
        <v>1260421441.5699997</v>
      </c>
      <c r="H140" s="252" t="e">
        <f>G140/D140</f>
        <v>#DIV/0!</v>
      </c>
      <c r="I140" s="207"/>
      <c r="J140" s="175"/>
    </row>
    <row r="141" spans="1:11" s="176" customFormat="1" x14ac:dyDescent="0.25">
      <c r="A141" s="169"/>
      <c r="B141" s="177"/>
      <c r="C141" s="193"/>
      <c r="D141" s="181"/>
      <c r="E141" s="181"/>
      <c r="F141" s="181"/>
      <c r="G141" s="192"/>
      <c r="H141" s="24"/>
      <c r="I141" s="207"/>
      <c r="J141" s="175"/>
    </row>
    <row r="142" spans="1:11" s="176" customFormat="1" x14ac:dyDescent="0.25">
      <c r="A142" s="168" t="s">
        <v>62</v>
      </c>
      <c r="B142" s="179" t="s">
        <v>99</v>
      </c>
      <c r="C142" s="180" t="s">
        <v>100</v>
      </c>
      <c r="D142" s="191">
        <v>0</v>
      </c>
      <c r="E142" s="191">
        <f>'Realisasi April'!G135</f>
        <v>0</v>
      </c>
      <c r="F142" s="191">
        <v>0</v>
      </c>
      <c r="G142" s="191">
        <f>E142+F142</f>
        <v>0</v>
      </c>
      <c r="H142" s="236"/>
      <c r="I142" s="207"/>
      <c r="J142" s="175"/>
    </row>
    <row r="143" spans="1:11" s="176" customFormat="1" x14ac:dyDescent="0.25">
      <c r="A143" s="169"/>
      <c r="B143" s="170"/>
      <c r="C143" s="185"/>
      <c r="D143" s="191"/>
      <c r="E143" s="191"/>
      <c r="F143" s="191"/>
      <c r="G143" s="191"/>
      <c r="H143" s="236"/>
      <c r="I143" s="207"/>
      <c r="J143" s="175"/>
    </row>
    <row r="144" spans="1:11" s="176" customFormat="1" x14ac:dyDescent="0.25">
      <c r="A144" s="168" t="s">
        <v>66</v>
      </c>
      <c r="B144" s="189" t="s">
        <v>328</v>
      </c>
      <c r="C144" s="180" t="s">
        <v>101</v>
      </c>
      <c r="D144" s="191">
        <f>SUM(D145:D155)</f>
        <v>1175758877</v>
      </c>
      <c r="E144" s="191">
        <f t="shared" ref="E144:G144" si="60">SUM(E145:E155)</f>
        <v>1233003266</v>
      </c>
      <c r="F144" s="191">
        <f t="shared" si="60"/>
        <v>69507378</v>
      </c>
      <c r="G144" s="191">
        <f t="shared" si="60"/>
        <v>1302510644</v>
      </c>
      <c r="H144" s="236">
        <f t="shared" ref="H144:H152" si="61">G144/D144</f>
        <v>1.1078042186025527</v>
      </c>
      <c r="I144" s="207"/>
      <c r="J144" s="175"/>
    </row>
    <row r="145" spans="1:10" s="176" customFormat="1" x14ac:dyDescent="0.25">
      <c r="A145" s="188"/>
      <c r="B145" s="190" t="s">
        <v>329</v>
      </c>
      <c r="C145" s="33" t="s">
        <v>102</v>
      </c>
      <c r="D145" s="192">
        <v>12881622</v>
      </c>
      <c r="E145" s="192">
        <f>'Realisasi Agustus'!H144</f>
        <v>19254850</v>
      </c>
      <c r="F145" s="192">
        <v>461206</v>
      </c>
      <c r="G145" s="192">
        <f>E145+F145</f>
        <v>19716056</v>
      </c>
      <c r="H145" s="24">
        <f t="shared" si="61"/>
        <v>1.5305569438382838</v>
      </c>
      <c r="I145" s="207"/>
      <c r="J145" s="175"/>
    </row>
    <row r="146" spans="1:10" s="176" customFormat="1" x14ac:dyDescent="0.25">
      <c r="A146" s="188"/>
      <c r="B146" s="190" t="s">
        <v>330</v>
      </c>
      <c r="C146" s="33" t="s">
        <v>103</v>
      </c>
      <c r="D146" s="192">
        <v>20147339</v>
      </c>
      <c r="E146" s="192">
        <f>'Realisasi Agustus'!H145</f>
        <v>34639931</v>
      </c>
      <c r="F146" s="192">
        <v>4717502</v>
      </c>
      <c r="G146" s="192">
        <f t="shared" ref="G146:G154" si="62">E146+F146</f>
        <v>39357433</v>
      </c>
      <c r="H146" s="24">
        <f t="shared" si="61"/>
        <v>1.9534804571462265</v>
      </c>
      <c r="I146" s="207"/>
      <c r="J146" s="175"/>
    </row>
    <row r="147" spans="1:10" s="176" customFormat="1" x14ac:dyDescent="0.25">
      <c r="A147" s="188"/>
      <c r="B147" s="190" t="s">
        <v>331</v>
      </c>
      <c r="C147" s="33" t="s">
        <v>104</v>
      </c>
      <c r="D147" s="192">
        <v>8222100</v>
      </c>
      <c r="E147" s="192">
        <f>'Realisasi Agustus'!H146</f>
        <v>26535125</v>
      </c>
      <c r="F147" s="192">
        <v>7760</v>
      </c>
      <c r="G147" s="192">
        <f t="shared" si="62"/>
        <v>26542885</v>
      </c>
      <c r="H147" s="24">
        <f t="shared" si="61"/>
        <v>3.228236703518566</v>
      </c>
      <c r="I147" s="207"/>
      <c r="J147" s="175"/>
    </row>
    <row r="148" spans="1:10" s="176" customFormat="1" x14ac:dyDescent="0.25">
      <c r="A148" s="188"/>
      <c r="B148" s="190" t="s">
        <v>332</v>
      </c>
      <c r="C148" s="33" t="s">
        <v>105</v>
      </c>
      <c r="D148" s="192">
        <v>1112877</v>
      </c>
      <c r="E148" s="192">
        <f>'Realisasi Agustus'!H147</f>
        <v>1904721</v>
      </c>
      <c r="F148" s="192">
        <v>180824</v>
      </c>
      <c r="G148" s="192">
        <f t="shared" si="62"/>
        <v>2085545</v>
      </c>
      <c r="H148" s="24">
        <f t="shared" si="61"/>
        <v>1.8740121325177894</v>
      </c>
      <c r="I148" s="207"/>
      <c r="J148" s="175"/>
    </row>
    <row r="149" spans="1:10" s="176" customFormat="1" x14ac:dyDescent="0.25">
      <c r="A149" s="188"/>
      <c r="B149" s="190" t="s">
        <v>333</v>
      </c>
      <c r="C149" s="33" t="s">
        <v>106</v>
      </c>
      <c r="D149" s="192">
        <v>818170264</v>
      </c>
      <c r="E149" s="192">
        <f>'Realisasi Agustus'!H148</f>
        <v>820929292</v>
      </c>
      <c r="F149" s="192">
        <v>41879734</v>
      </c>
      <c r="G149" s="192">
        <f t="shared" si="62"/>
        <v>862809026</v>
      </c>
      <c r="H149" s="24">
        <f t="shared" si="61"/>
        <v>1.054559257362597</v>
      </c>
      <c r="I149" s="207"/>
      <c r="J149" s="175"/>
    </row>
    <row r="150" spans="1:10" s="176" customFormat="1" x14ac:dyDescent="0.25">
      <c r="A150" s="188"/>
      <c r="B150" s="190" t="s">
        <v>334</v>
      </c>
      <c r="C150" s="33" t="s">
        <v>107</v>
      </c>
      <c r="D150" s="192">
        <v>2128173</v>
      </c>
      <c r="E150" s="192">
        <f>'Realisasi Agustus'!H149</f>
        <v>4038327</v>
      </c>
      <c r="F150" s="192">
        <v>1803954</v>
      </c>
      <c r="G150" s="192">
        <f t="shared" si="62"/>
        <v>5842281</v>
      </c>
      <c r="H150" s="24">
        <f t="shared" si="61"/>
        <v>2.7452096234657617</v>
      </c>
      <c r="I150" s="207"/>
      <c r="J150" s="175"/>
    </row>
    <row r="151" spans="1:10" s="176" customFormat="1" x14ac:dyDescent="0.25">
      <c r="A151" s="188"/>
      <c r="B151" s="190" t="s">
        <v>335</v>
      </c>
      <c r="C151" s="33" t="s">
        <v>108</v>
      </c>
      <c r="D151" s="192">
        <v>11665567</v>
      </c>
      <c r="E151" s="192">
        <f>'Realisasi Agustus'!H150</f>
        <v>11797478</v>
      </c>
      <c r="F151" s="192">
        <v>4299567</v>
      </c>
      <c r="G151" s="192">
        <f t="shared" si="62"/>
        <v>16097045</v>
      </c>
      <c r="H151" s="24">
        <f t="shared" si="61"/>
        <v>1.379876777528259</v>
      </c>
      <c r="I151" s="207"/>
      <c r="J151" s="175"/>
    </row>
    <row r="152" spans="1:10" s="176" customFormat="1" x14ac:dyDescent="0.25">
      <c r="A152" s="188"/>
      <c r="B152" s="190" t="s">
        <v>336</v>
      </c>
      <c r="C152" s="33" t="s">
        <v>109</v>
      </c>
      <c r="D152" s="192">
        <v>1001910</v>
      </c>
      <c r="E152" s="192">
        <f>'Realisasi Agustus'!H151</f>
        <v>2072580</v>
      </c>
      <c r="F152" s="192">
        <v>1655072</v>
      </c>
      <c r="G152" s="192">
        <f t="shared" si="62"/>
        <v>3727652</v>
      </c>
      <c r="H152" s="24">
        <f t="shared" si="61"/>
        <v>3.7205457576029781</v>
      </c>
      <c r="I152" s="207"/>
      <c r="J152" s="175"/>
    </row>
    <row r="153" spans="1:10" s="176" customFormat="1" x14ac:dyDescent="0.25">
      <c r="A153" s="188"/>
      <c r="B153" s="190" t="s">
        <v>484</v>
      </c>
      <c r="C153" s="33" t="s">
        <v>482</v>
      </c>
      <c r="D153" s="192">
        <v>0</v>
      </c>
      <c r="E153" s="192">
        <f>'Realisasi Agustus'!H152</f>
        <v>0</v>
      </c>
      <c r="F153" s="192"/>
      <c r="G153" s="192">
        <f t="shared" si="62"/>
        <v>0</v>
      </c>
      <c r="H153" s="24"/>
      <c r="I153" s="207"/>
      <c r="J153" s="175"/>
    </row>
    <row r="154" spans="1:10" s="176" customFormat="1" x14ac:dyDescent="0.25">
      <c r="A154" s="188"/>
      <c r="B154" s="190" t="s">
        <v>337</v>
      </c>
      <c r="C154" s="33" t="s">
        <v>110</v>
      </c>
      <c r="D154" s="192">
        <v>300429025</v>
      </c>
      <c r="E154" s="192">
        <f>'Realisasi Agustus'!H153</f>
        <v>311830962</v>
      </c>
      <c r="F154" s="192">
        <v>14501759</v>
      </c>
      <c r="G154" s="192">
        <f t="shared" si="62"/>
        <v>326332721</v>
      </c>
      <c r="H154" s="24">
        <f>G154/D154</f>
        <v>1.0862223481902256</v>
      </c>
      <c r="I154" s="207"/>
      <c r="J154" s="175"/>
    </row>
    <row r="155" spans="1:10" s="176" customFormat="1" x14ac:dyDescent="0.25">
      <c r="A155" s="188"/>
      <c r="B155" s="190" t="s">
        <v>485</v>
      </c>
      <c r="C155" s="33" t="s">
        <v>483</v>
      </c>
      <c r="D155" s="192"/>
      <c r="E155" s="192">
        <f>'Realisasi Agustus'!H154</f>
        <v>0</v>
      </c>
      <c r="F155" s="192"/>
      <c r="G155" s="192">
        <f>F155-D155</f>
        <v>0</v>
      </c>
      <c r="H155" s="252" t="e">
        <f>G155/D155</f>
        <v>#DIV/0!</v>
      </c>
      <c r="I155" s="207"/>
      <c r="J155" s="175"/>
    </row>
    <row r="156" spans="1:10" s="176" customFormat="1" x14ac:dyDescent="0.25">
      <c r="A156" s="169"/>
      <c r="B156" s="170"/>
      <c r="C156" s="180"/>
      <c r="D156" s="191"/>
      <c r="E156" s="191"/>
      <c r="F156" s="191"/>
      <c r="G156" s="191"/>
      <c r="H156" s="252"/>
      <c r="I156" s="207"/>
      <c r="J156" s="175"/>
    </row>
    <row r="157" spans="1:10" s="176" customFormat="1" x14ac:dyDescent="0.25">
      <c r="A157" s="168" t="s">
        <v>73</v>
      </c>
      <c r="B157" s="189" t="s">
        <v>327</v>
      </c>
      <c r="C157" s="185" t="s">
        <v>111</v>
      </c>
      <c r="D157" s="191"/>
      <c r="E157" s="191">
        <f>'Realisasi April'!G150</f>
        <v>0</v>
      </c>
      <c r="F157" s="191"/>
      <c r="G157" s="191"/>
      <c r="H157" s="253" t="e">
        <f t="shared" ref="H157" si="63">G157/D157</f>
        <v>#DIV/0!</v>
      </c>
      <c r="I157" s="207"/>
      <c r="J157" s="175"/>
    </row>
    <row r="158" spans="1:10" s="176" customFormat="1" x14ac:dyDescent="0.25">
      <c r="A158" s="169"/>
      <c r="B158" s="170"/>
      <c r="C158" s="185"/>
      <c r="D158" s="191"/>
      <c r="E158" s="191"/>
      <c r="F158" s="191"/>
      <c r="G158" s="191"/>
      <c r="H158" s="236"/>
      <c r="I158" s="207"/>
      <c r="J158" s="175"/>
    </row>
    <row r="159" spans="1:10" s="176" customFormat="1" x14ac:dyDescent="0.25">
      <c r="A159" s="168" t="s">
        <v>74</v>
      </c>
      <c r="B159" s="189" t="s">
        <v>338</v>
      </c>
      <c r="C159" s="34" t="s">
        <v>339</v>
      </c>
      <c r="D159" s="191">
        <f>D160+D163</f>
        <v>32560678</v>
      </c>
      <c r="E159" s="191">
        <f>E160+E163</f>
        <v>104657720</v>
      </c>
      <c r="F159" s="191">
        <f t="shared" ref="F159:G159" si="64">F160+F163</f>
        <v>12684270</v>
      </c>
      <c r="G159" s="191">
        <f t="shared" si="64"/>
        <v>117341990</v>
      </c>
      <c r="H159" s="277">
        <f>G159/D159</f>
        <v>3.6037944295877375</v>
      </c>
      <c r="I159" s="207"/>
      <c r="J159" s="175"/>
    </row>
    <row r="160" spans="1:10" s="176" customFormat="1" x14ac:dyDescent="0.25">
      <c r="A160" s="169"/>
      <c r="B160" s="189" t="s">
        <v>596</v>
      </c>
      <c r="C160" s="180" t="s">
        <v>598</v>
      </c>
      <c r="D160" s="191">
        <f>D161</f>
        <v>15000000</v>
      </c>
      <c r="E160" s="191">
        <f>E161</f>
        <v>17241400</v>
      </c>
      <c r="F160" s="191">
        <f t="shared" ref="F160:G160" si="65">F161</f>
        <v>12684270</v>
      </c>
      <c r="G160" s="191">
        <f t="shared" si="65"/>
        <v>29925670</v>
      </c>
      <c r="H160" s="277">
        <f>G160/D160</f>
        <v>1.9950446666666666</v>
      </c>
      <c r="I160" s="207"/>
      <c r="J160" s="175"/>
    </row>
    <row r="161" spans="1:12" s="176" customFormat="1" x14ac:dyDescent="0.25">
      <c r="A161" s="169"/>
      <c r="B161" s="190" t="s">
        <v>597</v>
      </c>
      <c r="C161" s="33" t="s">
        <v>598</v>
      </c>
      <c r="D161" s="192">
        <v>15000000</v>
      </c>
      <c r="E161" s="192">
        <f>'Realisasi Agustus'!H160</f>
        <v>17241400</v>
      </c>
      <c r="F161" s="192">
        <v>12684270</v>
      </c>
      <c r="G161" s="192">
        <f>E161+F161</f>
        <v>29925670</v>
      </c>
      <c r="H161" s="278">
        <f>G161/D161</f>
        <v>1.9950446666666666</v>
      </c>
      <c r="I161" s="207"/>
      <c r="J161" s="175"/>
    </row>
    <row r="162" spans="1:12" s="176" customFormat="1" x14ac:dyDescent="0.25">
      <c r="A162" s="169"/>
      <c r="B162" s="170"/>
      <c r="C162" s="180"/>
      <c r="D162" s="191"/>
      <c r="E162" s="191"/>
      <c r="F162" s="191"/>
      <c r="G162" s="191"/>
      <c r="H162" s="277"/>
      <c r="I162" s="207"/>
      <c r="J162" s="175"/>
    </row>
    <row r="163" spans="1:12" s="176" customFormat="1" x14ac:dyDescent="0.25">
      <c r="A163" s="169"/>
      <c r="B163" s="189" t="s">
        <v>599</v>
      </c>
      <c r="C163" s="180" t="s">
        <v>601</v>
      </c>
      <c r="D163" s="191">
        <f>D164</f>
        <v>17560678</v>
      </c>
      <c r="E163" s="191">
        <f>E164</f>
        <v>87416320</v>
      </c>
      <c r="F163" s="191">
        <f t="shared" ref="F163:G163" si="66">F164</f>
        <v>0</v>
      </c>
      <c r="G163" s="191">
        <f t="shared" si="66"/>
        <v>87416320</v>
      </c>
      <c r="H163" s="277">
        <f>G163/D163</f>
        <v>4.9779581403405952</v>
      </c>
      <c r="I163" s="207"/>
      <c r="J163" s="175"/>
    </row>
    <row r="164" spans="1:12" s="176" customFormat="1" x14ac:dyDescent="0.25">
      <c r="A164" s="169"/>
      <c r="B164" s="190" t="s">
        <v>600</v>
      </c>
      <c r="C164" s="33" t="s">
        <v>601</v>
      </c>
      <c r="D164" s="192">
        <v>17560678</v>
      </c>
      <c r="E164" s="192">
        <f>'Realisasi Agustus'!H163</f>
        <v>87416320</v>
      </c>
      <c r="F164" s="192"/>
      <c r="G164" s="192">
        <f>E164+F164</f>
        <v>87416320</v>
      </c>
      <c r="H164" s="278">
        <f>G164/D164</f>
        <v>4.9779581403405952</v>
      </c>
      <c r="I164" s="207"/>
      <c r="J164" s="175"/>
    </row>
    <row r="165" spans="1:12" s="176" customFormat="1" x14ac:dyDescent="0.25">
      <c r="A165" s="169"/>
      <c r="B165" s="190"/>
      <c r="C165" s="33"/>
      <c r="D165" s="192"/>
      <c r="E165" s="192"/>
      <c r="F165" s="192"/>
      <c r="G165" s="192"/>
      <c r="H165" s="278"/>
      <c r="I165" s="207"/>
      <c r="J165" s="175"/>
    </row>
    <row r="166" spans="1:12" s="176" customFormat="1" x14ac:dyDescent="0.25">
      <c r="A166" s="168" t="s">
        <v>81</v>
      </c>
      <c r="B166" s="22" t="s">
        <v>306</v>
      </c>
      <c r="C166" s="185" t="s">
        <v>75</v>
      </c>
      <c r="D166" s="196">
        <f>D167</f>
        <v>145682205841</v>
      </c>
      <c r="E166" s="196">
        <f t="shared" ref="E166:G167" si="67">E167</f>
        <v>120974807466</v>
      </c>
      <c r="F166" s="196">
        <f t="shared" si="67"/>
        <v>9356191657</v>
      </c>
      <c r="G166" s="196">
        <f t="shared" si="67"/>
        <v>130330999123</v>
      </c>
      <c r="H166" s="236">
        <f t="shared" ref="H166:H198" si="68">G166/D166</f>
        <v>0.89462538249349022</v>
      </c>
      <c r="I166" s="207" t="s">
        <v>112</v>
      </c>
      <c r="J166" s="175"/>
    </row>
    <row r="167" spans="1:12" s="176" customFormat="1" x14ac:dyDescent="0.25">
      <c r="A167" s="168"/>
      <c r="B167" s="189" t="s">
        <v>340</v>
      </c>
      <c r="C167" s="185" t="s">
        <v>341</v>
      </c>
      <c r="D167" s="196">
        <f>D168</f>
        <v>145682205841</v>
      </c>
      <c r="E167" s="196">
        <f t="shared" si="67"/>
        <v>120974807466</v>
      </c>
      <c r="F167" s="196">
        <f t="shared" si="67"/>
        <v>9356191657</v>
      </c>
      <c r="G167" s="196">
        <f t="shared" si="67"/>
        <v>130330999123</v>
      </c>
      <c r="H167" s="236">
        <f t="shared" si="68"/>
        <v>0.89462538249349022</v>
      </c>
      <c r="I167" s="207"/>
      <c r="J167" s="175"/>
    </row>
    <row r="168" spans="1:12" s="176" customFormat="1" x14ac:dyDescent="0.25">
      <c r="A168" s="188"/>
      <c r="B168" s="178"/>
      <c r="C168" s="185" t="s">
        <v>113</v>
      </c>
      <c r="D168" s="196">
        <f>D169+D176+D182+D185+D189+D192+D195+D198+D202</f>
        <v>145682205841</v>
      </c>
      <c r="E168" s="191">
        <f t="shared" ref="E168:G168" si="69">E169+E176+E182+E185+E189+E192+E195+E198+E202</f>
        <v>120974807466</v>
      </c>
      <c r="F168" s="191">
        <f t="shared" si="69"/>
        <v>9356191657</v>
      </c>
      <c r="G168" s="191">
        <f t="shared" si="69"/>
        <v>130330999123</v>
      </c>
      <c r="H168" s="236">
        <f>G168/D168</f>
        <v>0.89462538249349022</v>
      </c>
      <c r="I168" s="207" t="s">
        <v>114</v>
      </c>
      <c r="J168" s="175"/>
    </row>
    <row r="169" spans="1:12" s="176" customFormat="1" x14ac:dyDescent="0.25">
      <c r="A169" s="188"/>
      <c r="B169" s="178"/>
      <c r="C169" s="35" t="s">
        <v>115</v>
      </c>
      <c r="D169" s="191">
        <f>SUM(D170:D175)</f>
        <v>11999955000</v>
      </c>
      <c r="E169" s="191">
        <f t="shared" ref="E169:G169" si="70">SUM(E170:E175)</f>
        <v>6697384276</v>
      </c>
      <c r="F169" s="191">
        <f t="shared" si="70"/>
        <v>732175355</v>
      </c>
      <c r="G169" s="191">
        <f t="shared" si="70"/>
        <v>7429559631</v>
      </c>
      <c r="H169" s="236">
        <f t="shared" si="68"/>
        <v>0.61913229099609124</v>
      </c>
      <c r="I169" s="207"/>
      <c r="J169" s="175"/>
    </row>
    <row r="170" spans="1:12" s="176" customFormat="1" x14ac:dyDescent="0.25">
      <c r="A170" s="188"/>
      <c r="B170" s="178"/>
      <c r="C170" s="171" t="s">
        <v>116</v>
      </c>
      <c r="D170" s="192">
        <v>945785000</v>
      </c>
      <c r="E170" s="181">
        <f>'Realisasi Agustus'!H169</f>
        <v>578754561</v>
      </c>
      <c r="F170" s="192">
        <v>66358983</v>
      </c>
      <c r="G170" s="192">
        <f>E170+F170</f>
        <v>645113544</v>
      </c>
      <c r="H170" s="24">
        <f t="shared" si="68"/>
        <v>0.68209322837642805</v>
      </c>
      <c r="I170" s="207"/>
      <c r="J170" s="3"/>
      <c r="K170" s="3"/>
      <c r="L170" s="3"/>
    </row>
    <row r="171" spans="1:12" s="176" customFormat="1" x14ac:dyDescent="0.25">
      <c r="A171" s="188"/>
      <c r="B171" s="178"/>
      <c r="C171" s="171" t="s">
        <v>117</v>
      </c>
      <c r="D171" s="192">
        <v>1858720000</v>
      </c>
      <c r="E171" s="181">
        <f>'Realisasi Agustus'!H170</f>
        <v>1048837027</v>
      </c>
      <c r="F171" s="192">
        <v>85753698</v>
      </c>
      <c r="G171" s="192">
        <f t="shared" ref="G171:G175" si="71">E171+F171</f>
        <v>1134590725</v>
      </c>
      <c r="H171" s="24">
        <f t="shared" si="68"/>
        <v>0.61041508403632605</v>
      </c>
      <c r="I171" s="207"/>
      <c r="J171" s="3"/>
      <c r="K171" s="3"/>
      <c r="L171" s="3"/>
    </row>
    <row r="172" spans="1:12" s="176" customFormat="1" x14ac:dyDescent="0.25">
      <c r="A172" s="188"/>
      <c r="B172" s="178"/>
      <c r="C172" s="171" t="s">
        <v>118</v>
      </c>
      <c r="D172" s="192">
        <v>5641950000</v>
      </c>
      <c r="E172" s="181">
        <f>'Realisasi Agustus'!H171</f>
        <v>2800450214</v>
      </c>
      <c r="F172" s="192">
        <v>342348271</v>
      </c>
      <c r="G172" s="192">
        <f t="shared" si="71"/>
        <v>3142798485</v>
      </c>
      <c r="H172" s="24">
        <f t="shared" si="68"/>
        <v>0.55704117991120095</v>
      </c>
      <c r="I172" s="207"/>
      <c r="J172" s="3"/>
      <c r="K172" s="3"/>
      <c r="L172" s="3"/>
    </row>
    <row r="173" spans="1:12" s="176" customFormat="1" x14ac:dyDescent="0.25">
      <c r="A173" s="188"/>
      <c r="B173" s="178"/>
      <c r="C173" s="171" t="s">
        <v>119</v>
      </c>
      <c r="D173" s="192">
        <v>1970100000</v>
      </c>
      <c r="E173" s="181">
        <f>'Realisasi Agustus'!H172</f>
        <v>1139184511</v>
      </c>
      <c r="F173" s="192">
        <v>123280092</v>
      </c>
      <c r="G173" s="192">
        <f t="shared" si="71"/>
        <v>1262464603</v>
      </c>
      <c r="H173" s="24">
        <f t="shared" si="68"/>
        <v>0.64081244759149281</v>
      </c>
      <c r="I173" s="207"/>
      <c r="J173" s="3"/>
      <c r="K173" s="3"/>
      <c r="L173" s="3"/>
    </row>
    <row r="174" spans="1:12" s="176" customFormat="1" x14ac:dyDescent="0.25">
      <c r="A174" s="188"/>
      <c r="B174" s="178"/>
      <c r="C174" s="171" t="s">
        <v>120</v>
      </c>
      <c r="D174" s="192">
        <v>70400000</v>
      </c>
      <c r="E174" s="181">
        <f>'Realisasi Agustus'!H173</f>
        <v>28711800</v>
      </c>
      <c r="F174" s="192">
        <v>1300000</v>
      </c>
      <c r="G174" s="192">
        <f t="shared" si="71"/>
        <v>30011800</v>
      </c>
      <c r="H174" s="24">
        <f t="shared" si="68"/>
        <v>0.42630397727272729</v>
      </c>
      <c r="I174" s="207"/>
      <c r="J174" s="3"/>
      <c r="K174" s="3"/>
      <c r="L174" s="3"/>
    </row>
    <row r="175" spans="1:12" s="176" customFormat="1" x14ac:dyDescent="0.25">
      <c r="A175" s="188"/>
      <c r="B175" s="178"/>
      <c r="C175" s="171" t="s">
        <v>121</v>
      </c>
      <c r="D175" s="192">
        <v>1513000000</v>
      </c>
      <c r="E175" s="192">
        <f>'Realisasi Agustus'!H174</f>
        <v>1101446163</v>
      </c>
      <c r="F175" s="192">
        <v>113134311</v>
      </c>
      <c r="G175" s="192">
        <f t="shared" si="71"/>
        <v>1214580474</v>
      </c>
      <c r="H175" s="24">
        <f t="shared" si="68"/>
        <v>0.80276303635161927</v>
      </c>
      <c r="I175" s="207"/>
      <c r="J175" s="3"/>
      <c r="K175" s="3"/>
      <c r="L175" s="3"/>
    </row>
    <row r="176" spans="1:12" s="176" customFormat="1" x14ac:dyDescent="0.25">
      <c r="A176" s="188"/>
      <c r="B176" s="178"/>
      <c r="C176" s="185" t="s">
        <v>122</v>
      </c>
      <c r="D176" s="191">
        <f>SUM(D177:D181)</f>
        <v>64267216000</v>
      </c>
      <c r="E176" s="191">
        <f t="shared" ref="E176:G176" si="72">SUM(E177:E181)</f>
        <v>45909715708</v>
      </c>
      <c r="F176" s="191">
        <f t="shared" si="72"/>
        <v>7009334266</v>
      </c>
      <c r="G176" s="191">
        <f t="shared" si="72"/>
        <v>52919049974</v>
      </c>
      <c r="H176" s="236">
        <f t="shared" si="68"/>
        <v>0.82342216245993916</v>
      </c>
      <c r="I176" s="207"/>
      <c r="J176" s="3"/>
      <c r="K176" s="3"/>
      <c r="L176" s="3"/>
    </row>
    <row r="177" spans="1:12" s="176" customFormat="1" x14ac:dyDescent="0.25">
      <c r="A177" s="188"/>
      <c r="B177" s="178"/>
      <c r="C177" s="171" t="s">
        <v>117</v>
      </c>
      <c r="D177" s="192">
        <v>20349000000</v>
      </c>
      <c r="E177" s="192">
        <f>'Realisasi Agustus'!H176</f>
        <v>14493987300</v>
      </c>
      <c r="F177" s="192">
        <v>2017828800</v>
      </c>
      <c r="G177" s="192">
        <f>E177+F177</f>
        <v>16511816100</v>
      </c>
      <c r="H177" s="24">
        <f t="shared" si="68"/>
        <v>0.811431328320802</v>
      </c>
      <c r="I177" s="207"/>
      <c r="J177" s="3"/>
      <c r="K177" s="3"/>
      <c r="L177" s="3"/>
    </row>
    <row r="178" spans="1:12" s="176" customFormat="1" x14ac:dyDescent="0.25">
      <c r="A178" s="188"/>
      <c r="B178" s="178"/>
      <c r="C178" s="171" t="s">
        <v>118</v>
      </c>
      <c r="D178" s="192">
        <v>41013056000</v>
      </c>
      <c r="E178" s="192">
        <f>'Realisasi Agustus'!H177</f>
        <v>29116725189</v>
      </c>
      <c r="F178" s="192">
        <v>4721686650</v>
      </c>
      <c r="G178" s="192">
        <f t="shared" ref="G178:G181" si="73">E178+F178</f>
        <v>33838411839</v>
      </c>
      <c r="H178" s="24">
        <f t="shared" si="68"/>
        <v>0.82506438532646775</v>
      </c>
      <c r="I178" s="207"/>
      <c r="J178" s="3"/>
      <c r="K178" s="3"/>
      <c r="L178" s="3"/>
    </row>
    <row r="179" spans="1:12" s="176" customFormat="1" x14ac:dyDescent="0.25">
      <c r="A179" s="188"/>
      <c r="B179" s="178"/>
      <c r="C179" s="171" t="s">
        <v>123</v>
      </c>
      <c r="D179" s="192">
        <v>287520000</v>
      </c>
      <c r="E179" s="192">
        <f>'Realisasi Agustus'!H178</f>
        <v>240750000</v>
      </c>
      <c r="F179" s="192">
        <v>22500000</v>
      </c>
      <c r="G179" s="192">
        <f t="shared" si="73"/>
        <v>263250000</v>
      </c>
      <c r="H179" s="24">
        <f t="shared" si="68"/>
        <v>0.91558848080133559</v>
      </c>
      <c r="I179" s="207"/>
      <c r="J179" s="3"/>
      <c r="K179" s="3"/>
      <c r="L179" s="3"/>
    </row>
    <row r="180" spans="1:12" s="176" customFormat="1" x14ac:dyDescent="0.25">
      <c r="A180" s="188"/>
      <c r="B180" s="178"/>
      <c r="C180" s="171" t="s">
        <v>124</v>
      </c>
      <c r="D180" s="192">
        <v>2461640000</v>
      </c>
      <c r="E180" s="192">
        <f>'Realisasi Agustus'!H179</f>
        <v>1942665019</v>
      </c>
      <c r="F180" s="192">
        <v>203069416</v>
      </c>
      <c r="G180" s="192">
        <f t="shared" si="73"/>
        <v>2145734435</v>
      </c>
      <c r="H180" s="24">
        <f t="shared" si="68"/>
        <v>0.87166865788661219</v>
      </c>
      <c r="I180" s="207"/>
      <c r="J180" s="3"/>
      <c r="K180" s="3"/>
      <c r="L180" s="3"/>
    </row>
    <row r="181" spans="1:12" s="176" customFormat="1" x14ac:dyDescent="0.25">
      <c r="A181" s="188"/>
      <c r="B181" s="178"/>
      <c r="C181" s="171" t="s">
        <v>120</v>
      </c>
      <c r="D181" s="192">
        <v>156000000</v>
      </c>
      <c r="E181" s="192">
        <f>'Realisasi Agustus'!H180</f>
        <v>115588200</v>
      </c>
      <c r="F181" s="192">
        <v>44249400</v>
      </c>
      <c r="G181" s="192">
        <f t="shared" si="73"/>
        <v>159837600</v>
      </c>
      <c r="H181" s="24">
        <f t="shared" si="68"/>
        <v>1.0246</v>
      </c>
      <c r="I181" s="207"/>
      <c r="J181" s="3"/>
      <c r="K181" s="3"/>
      <c r="L181" s="3"/>
    </row>
    <row r="182" spans="1:12" s="176" customFormat="1" x14ac:dyDescent="0.25">
      <c r="A182" s="188"/>
      <c r="B182" s="178"/>
      <c r="C182" s="185" t="s">
        <v>125</v>
      </c>
      <c r="D182" s="191">
        <f>SUM(D183:D184)</f>
        <v>62996250000</v>
      </c>
      <c r="E182" s="191">
        <f t="shared" ref="E182:G182" si="74">SUM(E183:E184)</f>
        <v>63455403900</v>
      </c>
      <c r="F182" s="191">
        <f t="shared" si="74"/>
        <v>0</v>
      </c>
      <c r="G182" s="191">
        <f t="shared" si="74"/>
        <v>63455403900</v>
      </c>
      <c r="H182" s="236">
        <f t="shared" si="68"/>
        <v>1.0072885909875589</v>
      </c>
      <c r="I182" s="207"/>
      <c r="J182" s="175"/>
    </row>
    <row r="183" spans="1:12" s="176" customFormat="1" x14ac:dyDescent="0.25">
      <c r="A183" s="188"/>
      <c r="B183" s="178"/>
      <c r="C183" s="171" t="s">
        <v>117</v>
      </c>
      <c r="D183" s="192">
        <v>96250000</v>
      </c>
      <c r="E183" s="192">
        <f>'Realisasi Agustus'!H182</f>
        <v>89200600</v>
      </c>
      <c r="F183" s="192"/>
      <c r="G183" s="192">
        <f>E183+F183</f>
        <v>89200600</v>
      </c>
      <c r="H183" s="24">
        <f t="shared" si="68"/>
        <v>0.92675948051948054</v>
      </c>
      <c r="I183" s="207"/>
      <c r="J183" s="175"/>
    </row>
    <row r="184" spans="1:12" s="176" customFormat="1" x14ac:dyDescent="0.25">
      <c r="A184" s="188"/>
      <c r="B184" s="178"/>
      <c r="C184" s="171" t="s">
        <v>118</v>
      </c>
      <c r="D184" s="192">
        <v>62900000000</v>
      </c>
      <c r="E184" s="192">
        <f>'Realisasi Agustus'!H183</f>
        <v>63366203300</v>
      </c>
      <c r="F184" s="192"/>
      <c r="G184" s="192">
        <f>E184+F184</f>
        <v>63366203300</v>
      </c>
      <c r="H184" s="24">
        <f t="shared" si="68"/>
        <v>1.0074118171701112</v>
      </c>
      <c r="I184" s="207"/>
      <c r="J184" s="175"/>
    </row>
    <row r="185" spans="1:12" s="176" customFormat="1" x14ac:dyDescent="0.25">
      <c r="A185" s="188"/>
      <c r="B185" s="178"/>
      <c r="C185" s="185" t="s">
        <v>126</v>
      </c>
      <c r="D185" s="191">
        <f>SUM(D186:D188)</f>
        <v>3270668000</v>
      </c>
      <c r="E185" s="191">
        <f t="shared" ref="E185:G185" si="75">SUM(E186:E188)</f>
        <v>3231235630</v>
      </c>
      <c r="F185" s="191">
        <f t="shared" si="75"/>
        <v>397361884</v>
      </c>
      <c r="G185" s="191">
        <f t="shared" si="75"/>
        <v>3628597514</v>
      </c>
      <c r="H185" s="236">
        <f t="shared" si="68"/>
        <v>1.1094362111960003</v>
      </c>
      <c r="I185" s="207"/>
      <c r="J185" s="175"/>
    </row>
    <row r="186" spans="1:12" s="176" customFormat="1" x14ac:dyDescent="0.25">
      <c r="A186" s="188"/>
      <c r="B186" s="178"/>
      <c r="C186" s="171" t="s">
        <v>117</v>
      </c>
      <c r="D186" s="192">
        <v>583188000</v>
      </c>
      <c r="E186" s="192">
        <f>'Realisasi Agustus'!H185</f>
        <v>442003095</v>
      </c>
      <c r="F186" s="192">
        <v>48153643</v>
      </c>
      <c r="G186" s="192">
        <f>E186+F186</f>
        <v>490156738</v>
      </c>
      <c r="H186" s="24">
        <f t="shared" si="68"/>
        <v>0.84047809282769881</v>
      </c>
      <c r="I186" s="207" t="s">
        <v>127</v>
      </c>
      <c r="J186" s="175"/>
    </row>
    <row r="187" spans="1:12" s="176" customFormat="1" x14ac:dyDescent="0.25">
      <c r="A187" s="188"/>
      <c r="B187" s="178"/>
      <c r="C187" s="171" t="s">
        <v>118</v>
      </c>
      <c r="D187" s="192">
        <v>2192520000</v>
      </c>
      <c r="E187" s="192">
        <f>'Realisasi Agustus'!H186</f>
        <v>2249707678</v>
      </c>
      <c r="F187" s="192">
        <v>273677020</v>
      </c>
      <c r="G187" s="192">
        <f t="shared" ref="G187:G188" si="76">E187+F187</f>
        <v>2523384698</v>
      </c>
      <c r="H187" s="24">
        <f t="shared" si="68"/>
        <v>1.1509061253717183</v>
      </c>
      <c r="I187" s="207"/>
      <c r="J187" s="175"/>
    </row>
    <row r="188" spans="1:12" s="176" customFormat="1" x14ac:dyDescent="0.25">
      <c r="A188" s="188"/>
      <c r="B188" s="178"/>
      <c r="C188" s="171" t="s">
        <v>128</v>
      </c>
      <c r="D188" s="192">
        <v>494960000</v>
      </c>
      <c r="E188" s="192">
        <f>'Realisasi Agustus'!H187</f>
        <v>539524857</v>
      </c>
      <c r="F188" s="192">
        <v>75531221</v>
      </c>
      <c r="G188" s="192">
        <f t="shared" si="76"/>
        <v>615056078</v>
      </c>
      <c r="H188" s="24">
        <f t="shared" si="68"/>
        <v>1.2426379465007273</v>
      </c>
      <c r="I188" s="207"/>
      <c r="J188" s="175"/>
    </row>
    <row r="189" spans="1:12" s="176" customFormat="1" x14ac:dyDescent="0.25">
      <c r="A189" s="169"/>
      <c r="B189" s="178"/>
      <c r="C189" s="185" t="s">
        <v>129</v>
      </c>
      <c r="D189" s="191">
        <f>SUM(D190:D191)</f>
        <v>2397579000</v>
      </c>
      <c r="E189" s="191">
        <f t="shared" ref="E189:G189" si="77">SUM(E190:E191)</f>
        <v>784783443</v>
      </c>
      <c r="F189" s="191">
        <f t="shared" si="77"/>
        <v>1190985042</v>
      </c>
      <c r="G189" s="191">
        <f t="shared" si="77"/>
        <v>1975768485</v>
      </c>
      <c r="H189" s="236">
        <f t="shared" si="68"/>
        <v>0.82406814749378432</v>
      </c>
      <c r="I189" s="207"/>
      <c r="J189" s="175"/>
    </row>
    <row r="190" spans="1:12" s="176" customFormat="1" x14ac:dyDescent="0.25">
      <c r="A190" s="188"/>
      <c r="B190" s="178"/>
      <c r="C190" s="171" t="s">
        <v>117</v>
      </c>
      <c r="D190" s="192">
        <v>57579000</v>
      </c>
      <c r="E190" s="192">
        <f>'Realisasi Agustus'!H189</f>
        <v>121477456</v>
      </c>
      <c r="F190" s="192">
        <v>77955096</v>
      </c>
      <c r="G190" s="192">
        <f>E190+F190</f>
        <v>199432552</v>
      </c>
      <c r="H190" s="24">
        <f t="shared" si="68"/>
        <v>3.4636334774831101</v>
      </c>
      <c r="I190" s="207"/>
      <c r="J190" s="175"/>
    </row>
    <row r="191" spans="1:12" s="176" customFormat="1" x14ac:dyDescent="0.25">
      <c r="A191" s="188"/>
      <c r="B191" s="178"/>
      <c r="C191" s="171" t="s">
        <v>118</v>
      </c>
      <c r="D191" s="192">
        <v>2340000000</v>
      </c>
      <c r="E191" s="192">
        <f>'Realisasi Agustus'!H190</f>
        <v>663305987</v>
      </c>
      <c r="F191" s="192">
        <v>1113029946</v>
      </c>
      <c r="G191" s="192">
        <f>E191+F191</f>
        <v>1776335933</v>
      </c>
      <c r="H191" s="24">
        <f t="shared" si="68"/>
        <v>0.75911792008547008</v>
      </c>
      <c r="I191" s="207"/>
      <c r="J191" s="175"/>
    </row>
    <row r="192" spans="1:12" s="176" customFormat="1" x14ac:dyDescent="0.25">
      <c r="A192" s="188"/>
      <c r="B192" s="178"/>
      <c r="C192" s="185" t="s">
        <v>130</v>
      </c>
      <c r="D192" s="191">
        <f>SUM(D193:D194)</f>
        <v>0</v>
      </c>
      <c r="E192" s="191">
        <f t="shared" ref="E192:G192" si="78">SUM(E193:E194)</f>
        <v>0</v>
      </c>
      <c r="F192" s="191">
        <f t="shared" si="78"/>
        <v>0</v>
      </c>
      <c r="G192" s="191">
        <f t="shared" si="78"/>
        <v>0</v>
      </c>
      <c r="H192" s="253" t="e">
        <f t="shared" si="68"/>
        <v>#DIV/0!</v>
      </c>
      <c r="I192" s="207"/>
      <c r="J192" s="175"/>
    </row>
    <row r="193" spans="1:12" s="176" customFormat="1" x14ac:dyDescent="0.25">
      <c r="A193" s="188"/>
      <c r="B193" s="178"/>
      <c r="C193" s="171" t="s">
        <v>117</v>
      </c>
      <c r="D193" s="192">
        <v>0</v>
      </c>
      <c r="E193" s="192">
        <f>'Realisasi Agustus'!H192</f>
        <v>0</v>
      </c>
      <c r="F193" s="192"/>
      <c r="G193" s="192">
        <f>E193+F193</f>
        <v>0</v>
      </c>
      <c r="H193" s="252" t="e">
        <f t="shared" si="68"/>
        <v>#DIV/0!</v>
      </c>
      <c r="I193" s="207"/>
      <c r="J193" s="175"/>
    </row>
    <row r="194" spans="1:12" s="176" customFormat="1" x14ac:dyDescent="0.25">
      <c r="A194" s="188"/>
      <c r="B194" s="178"/>
      <c r="C194" s="171" t="s">
        <v>118</v>
      </c>
      <c r="D194" s="192">
        <v>0</v>
      </c>
      <c r="E194" s="192">
        <f>'Realisasi Agustus'!H193</f>
        <v>0</v>
      </c>
      <c r="F194" s="192"/>
      <c r="G194" s="192">
        <f>E194+F194</f>
        <v>0</v>
      </c>
      <c r="H194" s="252" t="e">
        <f t="shared" si="68"/>
        <v>#DIV/0!</v>
      </c>
      <c r="I194" s="207"/>
      <c r="J194" s="175"/>
    </row>
    <row r="195" spans="1:12" s="176" customFormat="1" x14ac:dyDescent="0.25">
      <c r="A195" s="188"/>
      <c r="B195" s="178"/>
      <c r="C195" s="185" t="s">
        <v>131</v>
      </c>
      <c r="D195" s="191">
        <f>SUM(D196:D197)</f>
        <v>90525000</v>
      </c>
      <c r="E195" s="191">
        <f t="shared" ref="E195:G195" si="79">SUM(E196:E197)</f>
        <v>309809211</v>
      </c>
      <c r="F195" s="191">
        <f t="shared" si="79"/>
        <v>0</v>
      </c>
      <c r="G195" s="191">
        <f t="shared" si="79"/>
        <v>309809211</v>
      </c>
      <c r="H195" s="236">
        <f t="shared" si="68"/>
        <v>3.4223607953603978</v>
      </c>
      <c r="I195" s="207"/>
      <c r="J195" s="175"/>
    </row>
    <row r="196" spans="1:12" s="176" customFormat="1" x14ac:dyDescent="0.25">
      <c r="A196" s="188"/>
      <c r="B196" s="178"/>
      <c r="C196" s="171" t="s">
        <v>117</v>
      </c>
      <c r="D196" s="192">
        <v>525000</v>
      </c>
      <c r="E196" s="192">
        <f>'Realisasi Agustus'!H195</f>
        <v>3549441</v>
      </c>
      <c r="F196" s="192"/>
      <c r="G196" s="192">
        <f>E196+F196</f>
        <v>3549441</v>
      </c>
      <c r="H196" s="24">
        <f t="shared" si="68"/>
        <v>6.76084</v>
      </c>
      <c r="I196" s="207"/>
      <c r="J196" s="175"/>
    </row>
    <row r="197" spans="1:12" s="176" customFormat="1" x14ac:dyDescent="0.25">
      <c r="A197" s="188"/>
      <c r="B197" s="178"/>
      <c r="C197" s="171" t="s">
        <v>118</v>
      </c>
      <c r="D197" s="192">
        <v>90000000</v>
      </c>
      <c r="E197" s="192">
        <f>'Realisasi Agustus'!H196</f>
        <v>306259770</v>
      </c>
      <c r="F197" s="192"/>
      <c r="G197" s="192">
        <f>E197+F197</f>
        <v>306259770</v>
      </c>
      <c r="H197" s="24">
        <f t="shared" si="68"/>
        <v>3.4028863333333335</v>
      </c>
      <c r="I197" s="207"/>
      <c r="J197" s="175"/>
    </row>
    <row r="198" spans="1:12" s="176" customFormat="1" x14ac:dyDescent="0.25">
      <c r="A198" s="188"/>
      <c r="B198" s="178"/>
      <c r="C198" s="185" t="s">
        <v>132</v>
      </c>
      <c r="D198" s="191">
        <f>SUM(D199:D201)</f>
        <v>510012841</v>
      </c>
      <c r="E198" s="191">
        <f t="shared" ref="E198:G198" si="80">SUM(E199:E201)</f>
        <v>367820000</v>
      </c>
      <c r="F198" s="191">
        <f t="shared" si="80"/>
        <v>8350000</v>
      </c>
      <c r="G198" s="191">
        <f t="shared" si="80"/>
        <v>376170000</v>
      </c>
      <c r="H198" s="236">
        <f t="shared" si="68"/>
        <v>0.73756966444693894</v>
      </c>
      <c r="I198" s="207"/>
      <c r="J198" s="175"/>
    </row>
    <row r="199" spans="1:12" s="176" customFormat="1" x14ac:dyDescent="0.25">
      <c r="A199" s="188"/>
      <c r="B199" s="178"/>
      <c r="C199" s="171" t="s">
        <v>133</v>
      </c>
      <c r="D199" s="192"/>
      <c r="E199" s="192">
        <f>'Realisasi Agustus'!H198</f>
        <v>0</v>
      </c>
      <c r="F199" s="192"/>
      <c r="G199" s="192">
        <f>E199+F199</f>
        <v>0</v>
      </c>
      <c r="H199" s="24"/>
      <c r="I199" s="207"/>
      <c r="J199" s="175"/>
    </row>
    <row r="200" spans="1:12" s="176" customFormat="1" x14ac:dyDescent="0.25">
      <c r="A200" s="188"/>
      <c r="B200" s="178"/>
      <c r="C200" s="171" t="s">
        <v>722</v>
      </c>
      <c r="D200" s="192">
        <v>80012841</v>
      </c>
      <c r="E200" s="192">
        <f>'Realisasi Agustus'!H199</f>
        <v>70100000</v>
      </c>
      <c r="F200" s="192">
        <v>6100000</v>
      </c>
      <c r="G200" s="192">
        <f t="shared" ref="G200:G201" si="81">E200+F200</f>
        <v>76200000</v>
      </c>
      <c r="H200" s="24">
        <f>G200/D200</f>
        <v>0.9523471363802718</v>
      </c>
      <c r="I200" s="207" t="s">
        <v>135</v>
      </c>
      <c r="J200" s="175"/>
    </row>
    <row r="201" spans="1:12" s="176" customFormat="1" x14ac:dyDescent="0.25">
      <c r="A201" s="188"/>
      <c r="B201" s="178"/>
      <c r="C201" s="171" t="s">
        <v>136</v>
      </c>
      <c r="D201" s="192">
        <v>430000000</v>
      </c>
      <c r="E201" s="192">
        <f>'Realisasi Agustus'!H200</f>
        <v>297720000</v>
      </c>
      <c r="F201" s="192">
        <v>2250000</v>
      </c>
      <c r="G201" s="192">
        <f t="shared" si="81"/>
        <v>299970000</v>
      </c>
      <c r="H201" s="24">
        <f>G201/D201</f>
        <v>0.69760465116279069</v>
      </c>
      <c r="I201" s="207"/>
      <c r="J201" s="175"/>
    </row>
    <row r="202" spans="1:12" s="176" customFormat="1" x14ac:dyDescent="0.25">
      <c r="A202" s="188"/>
      <c r="B202" s="178"/>
      <c r="C202" s="185" t="s">
        <v>137</v>
      </c>
      <c r="D202" s="191">
        <f>SUM(D203:D204)</f>
        <v>150000000</v>
      </c>
      <c r="E202" s="191">
        <f t="shared" ref="E202:G202" si="82">SUM(E203:E204)</f>
        <v>218655298</v>
      </c>
      <c r="F202" s="191">
        <f t="shared" si="82"/>
        <v>17985110</v>
      </c>
      <c r="G202" s="191">
        <f t="shared" si="82"/>
        <v>236640408</v>
      </c>
      <c r="H202" s="236">
        <f>G202/D202</f>
        <v>1.57760272</v>
      </c>
      <c r="I202" s="207"/>
      <c r="J202" s="175"/>
    </row>
    <row r="203" spans="1:12" s="176" customFormat="1" x14ac:dyDescent="0.25">
      <c r="A203" s="188"/>
      <c r="B203" s="178"/>
      <c r="C203" s="171" t="s">
        <v>138</v>
      </c>
      <c r="D203" s="192">
        <v>150000000</v>
      </c>
      <c r="E203" s="192">
        <f>'Realisasi Agustus'!H202</f>
        <v>218655298</v>
      </c>
      <c r="F203" s="192">
        <v>17985110</v>
      </c>
      <c r="G203" s="192">
        <f>E203+F203</f>
        <v>236640408</v>
      </c>
      <c r="H203" s="24">
        <f>G203/D203</f>
        <v>1.57760272</v>
      </c>
      <c r="I203" s="207" t="s">
        <v>139</v>
      </c>
      <c r="J203" s="175"/>
    </row>
    <row r="204" spans="1:12" s="176" customFormat="1" x14ac:dyDescent="0.25">
      <c r="A204" s="188"/>
      <c r="B204" s="178"/>
      <c r="C204" s="171" t="s">
        <v>140</v>
      </c>
      <c r="D204" s="192">
        <v>0</v>
      </c>
      <c r="E204" s="192">
        <f>'Realisasi Agustus'!H203</f>
        <v>0</v>
      </c>
      <c r="F204" s="192"/>
      <c r="G204" s="192">
        <f>E204+F204</f>
        <v>0</v>
      </c>
      <c r="H204" s="252" t="e">
        <f>G204/D204</f>
        <v>#DIV/0!</v>
      </c>
      <c r="I204" s="207"/>
      <c r="J204" s="175"/>
    </row>
    <row r="205" spans="1:12" s="176" customFormat="1" x14ac:dyDescent="0.25">
      <c r="A205" s="188"/>
      <c r="B205" s="178"/>
      <c r="C205" s="171"/>
      <c r="D205" s="192"/>
      <c r="E205" s="192"/>
      <c r="F205" s="192"/>
      <c r="G205" s="191"/>
      <c r="H205" s="236"/>
      <c r="I205" s="207"/>
      <c r="J205" s="175"/>
    </row>
    <row r="206" spans="1:12" s="176" customFormat="1" x14ac:dyDescent="0.25">
      <c r="A206" s="168" t="s">
        <v>452</v>
      </c>
      <c r="B206" s="22" t="s">
        <v>306</v>
      </c>
      <c r="C206" s="185" t="s">
        <v>75</v>
      </c>
      <c r="D206" s="191">
        <f>SUM(D207)</f>
        <v>14221114110</v>
      </c>
      <c r="E206" s="191">
        <f t="shared" ref="E206:G206" si="83">SUM(E207)</f>
        <v>9082081856.9500008</v>
      </c>
      <c r="F206" s="191">
        <f t="shared" si="83"/>
        <v>1241237341.0399997</v>
      </c>
      <c r="G206" s="191">
        <f t="shared" si="83"/>
        <v>10323319197.99</v>
      </c>
      <c r="H206" s="236">
        <f t="shared" ref="H206:H218" si="84">G206/D206</f>
        <v>0.72591494014740032</v>
      </c>
      <c r="I206" s="207" t="s">
        <v>141</v>
      </c>
      <c r="J206" s="175"/>
    </row>
    <row r="207" spans="1:12" s="176" customFormat="1" x14ac:dyDescent="0.25">
      <c r="A207" s="188"/>
      <c r="B207" s="189" t="s">
        <v>340</v>
      </c>
      <c r="C207" s="185" t="s">
        <v>341</v>
      </c>
      <c r="D207" s="191">
        <f>D208</f>
        <v>14221114110</v>
      </c>
      <c r="E207" s="191">
        <f>E208</f>
        <v>9082081856.9500008</v>
      </c>
      <c r="F207" s="191">
        <f t="shared" ref="F207:G207" si="85">F208</f>
        <v>1241237341.0399997</v>
      </c>
      <c r="G207" s="191">
        <f t="shared" si="85"/>
        <v>10323319197.99</v>
      </c>
      <c r="H207" s="236">
        <f t="shared" si="84"/>
        <v>0.72591494014740032</v>
      </c>
      <c r="I207" s="207" t="s">
        <v>143</v>
      </c>
      <c r="J207" s="294"/>
      <c r="K207" s="295"/>
      <c r="L207" s="295"/>
    </row>
    <row r="208" spans="1:12" s="176" customFormat="1" x14ac:dyDescent="0.25">
      <c r="A208" s="188"/>
      <c r="B208" s="178"/>
      <c r="C208" s="172" t="s">
        <v>142</v>
      </c>
      <c r="D208" s="191">
        <f>SUM(D209:D218)</f>
        <v>14221114110</v>
      </c>
      <c r="E208" s="191">
        <f>SUM(E209:E218)</f>
        <v>9082081856.9500008</v>
      </c>
      <c r="F208" s="191">
        <f t="shared" ref="F208:G208" si="86">SUM(F209:F218)</f>
        <v>1241237341.0399997</v>
      </c>
      <c r="G208" s="191">
        <f t="shared" si="86"/>
        <v>10323319197.99</v>
      </c>
      <c r="H208" s="236">
        <f t="shared" si="84"/>
        <v>0.72591494014740032</v>
      </c>
      <c r="I208" s="207"/>
      <c r="J208" s="294"/>
      <c r="K208" s="295"/>
      <c r="L208" s="295"/>
    </row>
    <row r="209" spans="1:12" s="176" customFormat="1" x14ac:dyDescent="0.25">
      <c r="A209" s="188"/>
      <c r="B209" s="178"/>
      <c r="C209" s="171" t="s">
        <v>144</v>
      </c>
      <c r="D209" s="192">
        <v>1799030500</v>
      </c>
      <c r="E209" s="192">
        <f>'Realisasi Agustus'!H208</f>
        <v>1059983230.0699999</v>
      </c>
      <c r="F209" s="192">
        <v>153795912.59999999</v>
      </c>
      <c r="G209" s="192">
        <f>E209+F209</f>
        <v>1213779142.6699998</v>
      </c>
      <c r="H209" s="24">
        <f t="shared" si="84"/>
        <v>0.67468513884005854</v>
      </c>
      <c r="I209" s="207" t="s">
        <v>145</v>
      </c>
      <c r="J209" s="294"/>
      <c r="K209" s="296"/>
      <c r="L209" s="295"/>
    </row>
    <row r="210" spans="1:12" s="176" customFormat="1" x14ac:dyDescent="0.25">
      <c r="A210" s="188"/>
      <c r="B210" s="178"/>
      <c r="C210" s="171" t="s">
        <v>146</v>
      </c>
      <c r="D210" s="192">
        <v>1055000000</v>
      </c>
      <c r="E210" s="192">
        <f>'Realisasi Agustus'!H209</f>
        <v>668282269.79999995</v>
      </c>
      <c r="F210" s="192">
        <v>110767563.38</v>
      </c>
      <c r="G210" s="192">
        <f t="shared" ref="G210:G218" si="87">E210+F210</f>
        <v>779049833.17999995</v>
      </c>
      <c r="H210" s="24">
        <f t="shared" si="84"/>
        <v>0.73843586083412316</v>
      </c>
      <c r="I210" s="207"/>
      <c r="J210" s="294"/>
      <c r="K210" s="296"/>
      <c r="L210" s="295"/>
    </row>
    <row r="211" spans="1:12" s="176" customFormat="1" x14ac:dyDescent="0.25">
      <c r="A211" s="188"/>
      <c r="B211" s="178"/>
      <c r="C211" s="171" t="s">
        <v>147</v>
      </c>
      <c r="D211" s="192">
        <v>1300000000</v>
      </c>
      <c r="E211" s="192">
        <f>'Realisasi Agustus'!H210</f>
        <v>842854052.30999994</v>
      </c>
      <c r="F211" s="192">
        <v>108879828.70999999</v>
      </c>
      <c r="G211" s="192">
        <f t="shared" si="87"/>
        <v>951733881.01999998</v>
      </c>
      <c r="H211" s="24">
        <f t="shared" si="84"/>
        <v>0.73210298539999996</v>
      </c>
      <c r="I211" s="207" t="s">
        <v>148</v>
      </c>
      <c r="J211" s="294"/>
      <c r="K211" s="296"/>
      <c r="L211" s="295"/>
    </row>
    <row r="212" spans="1:12" s="176" customFormat="1" x14ac:dyDescent="0.25">
      <c r="A212" s="188"/>
      <c r="B212" s="178"/>
      <c r="C212" s="171" t="s">
        <v>149</v>
      </c>
      <c r="D212" s="192">
        <v>2298598960</v>
      </c>
      <c r="E212" s="192">
        <f>'Realisasi Agustus'!H211</f>
        <v>1484622084.8000002</v>
      </c>
      <c r="F212" s="192">
        <v>207967196.91999999</v>
      </c>
      <c r="G212" s="192">
        <f t="shared" si="87"/>
        <v>1692589281.7200003</v>
      </c>
      <c r="H212" s="24">
        <f t="shared" si="84"/>
        <v>0.73635693358183729</v>
      </c>
      <c r="I212" s="207" t="s">
        <v>150</v>
      </c>
      <c r="J212" s="294"/>
      <c r="K212" s="296"/>
      <c r="L212" s="295"/>
    </row>
    <row r="213" spans="1:12" s="176" customFormat="1" x14ac:dyDescent="0.25">
      <c r="A213" s="188"/>
      <c r="B213" s="178"/>
      <c r="C213" s="171" t="s">
        <v>151</v>
      </c>
      <c r="D213" s="192">
        <v>922500000</v>
      </c>
      <c r="E213" s="192">
        <f>'Realisasi Agustus'!H212</f>
        <v>596094121.83000004</v>
      </c>
      <c r="F213" s="181">
        <v>77595280.900000006</v>
      </c>
      <c r="G213" s="192">
        <f t="shared" si="87"/>
        <v>673689402.73000002</v>
      </c>
      <c r="H213" s="24">
        <f t="shared" si="84"/>
        <v>0.73028661542547424</v>
      </c>
      <c r="I213" s="207" t="s">
        <v>152</v>
      </c>
      <c r="J213" s="294"/>
      <c r="K213" s="296"/>
      <c r="L213" s="295"/>
    </row>
    <row r="214" spans="1:12" s="176" customFormat="1" x14ac:dyDescent="0.25">
      <c r="A214" s="188"/>
      <c r="B214" s="178"/>
      <c r="C214" s="171" t="s">
        <v>153</v>
      </c>
      <c r="D214" s="192">
        <v>1105404000</v>
      </c>
      <c r="E214" s="192">
        <f>'Realisasi Agustus'!H213</f>
        <v>733704542.04999995</v>
      </c>
      <c r="F214" s="192">
        <v>94393106.599999994</v>
      </c>
      <c r="G214" s="192">
        <f t="shared" si="87"/>
        <v>828097648.64999998</v>
      </c>
      <c r="H214" s="24">
        <f t="shared" si="84"/>
        <v>0.74913574462368504</v>
      </c>
      <c r="I214" s="207"/>
      <c r="J214" s="294"/>
      <c r="K214" s="296"/>
      <c r="L214" s="295"/>
    </row>
    <row r="215" spans="1:12" s="176" customFormat="1" x14ac:dyDescent="0.25">
      <c r="A215" s="188"/>
      <c r="B215" s="178"/>
      <c r="C215" s="171" t="s">
        <v>154</v>
      </c>
      <c r="D215" s="192">
        <v>609500000</v>
      </c>
      <c r="E215" s="192">
        <f>'Realisasi Agustus'!H214</f>
        <v>404408549.49000001</v>
      </c>
      <c r="F215" s="181">
        <v>55909166.939999998</v>
      </c>
      <c r="G215" s="192">
        <f t="shared" si="87"/>
        <v>460317716.43000001</v>
      </c>
      <c r="H215" s="24">
        <f t="shared" si="84"/>
        <v>0.75523825501230513</v>
      </c>
      <c r="I215" s="207" t="s">
        <v>155</v>
      </c>
      <c r="J215" s="294"/>
      <c r="K215" s="296"/>
      <c r="L215" s="295"/>
    </row>
    <row r="216" spans="1:12" s="176" customFormat="1" x14ac:dyDescent="0.25">
      <c r="A216" s="188"/>
      <c r="B216" s="178"/>
      <c r="C216" s="171" t="s">
        <v>156</v>
      </c>
      <c r="D216" s="192">
        <v>2380000000</v>
      </c>
      <c r="E216" s="192">
        <f>'Realisasi Agustus'!H215</f>
        <v>1575622772.9099998</v>
      </c>
      <c r="F216" s="181">
        <v>202130015.56</v>
      </c>
      <c r="G216" s="192">
        <f t="shared" si="87"/>
        <v>1777752788.4699998</v>
      </c>
      <c r="H216" s="24">
        <f t="shared" si="84"/>
        <v>0.74695495313865534</v>
      </c>
      <c r="I216" s="207" t="s">
        <v>157</v>
      </c>
      <c r="J216" s="294"/>
      <c r="K216" s="296"/>
      <c r="L216" s="295"/>
    </row>
    <row r="217" spans="1:12" s="176" customFormat="1" x14ac:dyDescent="0.25">
      <c r="A217" s="188"/>
      <c r="B217" s="178"/>
      <c r="C217" s="171" t="s">
        <v>158</v>
      </c>
      <c r="D217" s="192">
        <v>1110542000</v>
      </c>
      <c r="E217" s="192">
        <f>'Realisasi Agustus'!H216</f>
        <v>735199814.27999997</v>
      </c>
      <c r="F217" s="192">
        <v>107375230.59</v>
      </c>
      <c r="G217" s="192">
        <f t="shared" si="87"/>
        <v>842575044.87</v>
      </c>
      <c r="H217" s="24">
        <f t="shared" si="84"/>
        <v>0.75870614967286243</v>
      </c>
      <c r="I217" s="207" t="s">
        <v>159</v>
      </c>
      <c r="J217" s="294"/>
      <c r="K217" s="296"/>
      <c r="L217" s="295"/>
    </row>
    <row r="218" spans="1:12" s="176" customFormat="1" x14ac:dyDescent="0.25">
      <c r="A218" s="188"/>
      <c r="B218" s="178"/>
      <c r="C218" s="171" t="s">
        <v>160</v>
      </c>
      <c r="D218" s="192">
        <v>1640538650</v>
      </c>
      <c r="E218" s="192">
        <f>'Realisasi Agustus'!H217</f>
        <v>981310419.40999997</v>
      </c>
      <c r="F218" s="192">
        <v>122424038.84</v>
      </c>
      <c r="G218" s="192">
        <f t="shared" si="87"/>
        <v>1103734458.25</v>
      </c>
      <c r="H218" s="24">
        <f t="shared" si="84"/>
        <v>0.67278784212124476</v>
      </c>
      <c r="I218" s="207" t="s">
        <v>161</v>
      </c>
      <c r="J218" s="294"/>
      <c r="K218" s="296"/>
      <c r="L218" s="295"/>
    </row>
    <row r="219" spans="1:12" s="176" customFormat="1" x14ac:dyDescent="0.25">
      <c r="A219" s="188"/>
      <c r="B219" s="178"/>
      <c r="C219" s="171"/>
      <c r="D219" s="192"/>
      <c r="E219" s="192"/>
      <c r="F219" s="192"/>
      <c r="G219" s="192"/>
      <c r="H219" s="24"/>
      <c r="I219" s="207"/>
      <c r="J219" s="294"/>
      <c r="K219" s="295"/>
      <c r="L219" s="295"/>
    </row>
    <row r="220" spans="1:12" s="176" customFormat="1" x14ac:dyDescent="0.25">
      <c r="A220" s="168" t="s">
        <v>591</v>
      </c>
      <c r="B220" s="22" t="s">
        <v>306</v>
      </c>
      <c r="C220" s="185" t="s">
        <v>75</v>
      </c>
      <c r="D220" s="196">
        <f t="shared" ref="D220:G223" si="88">D221</f>
        <v>99495000</v>
      </c>
      <c r="E220" s="196">
        <f t="shared" si="88"/>
        <v>76456708</v>
      </c>
      <c r="F220" s="196">
        <f t="shared" si="88"/>
        <v>10828332</v>
      </c>
      <c r="G220" s="196">
        <f t="shared" si="88"/>
        <v>87285040</v>
      </c>
      <c r="H220" s="236">
        <f>G220/D220</f>
        <v>0.87728066737021959</v>
      </c>
      <c r="I220" s="209"/>
      <c r="J220" s="294"/>
      <c r="K220" s="295"/>
      <c r="L220" s="295"/>
    </row>
    <row r="221" spans="1:12" s="176" customFormat="1" x14ac:dyDescent="0.25">
      <c r="A221" s="188"/>
      <c r="B221" s="189" t="s">
        <v>340</v>
      </c>
      <c r="C221" s="185" t="s">
        <v>341</v>
      </c>
      <c r="D221" s="196">
        <f t="shared" si="88"/>
        <v>99495000</v>
      </c>
      <c r="E221" s="196">
        <f t="shared" si="88"/>
        <v>76456708</v>
      </c>
      <c r="F221" s="196">
        <f t="shared" si="88"/>
        <v>10828332</v>
      </c>
      <c r="G221" s="196">
        <f t="shared" si="88"/>
        <v>87285040</v>
      </c>
      <c r="H221" s="236">
        <f>G221/D221</f>
        <v>0.87728066737021959</v>
      </c>
      <c r="I221" s="209"/>
      <c r="J221" s="294"/>
      <c r="K221" s="295"/>
      <c r="L221" s="295"/>
    </row>
    <row r="222" spans="1:12" s="176" customFormat="1" x14ac:dyDescent="0.25">
      <c r="A222" s="188"/>
      <c r="B222" s="22"/>
      <c r="C222" s="185" t="s">
        <v>76</v>
      </c>
      <c r="D222" s="196">
        <f t="shared" si="88"/>
        <v>99495000</v>
      </c>
      <c r="E222" s="196">
        <f t="shared" si="88"/>
        <v>76456708</v>
      </c>
      <c r="F222" s="196">
        <f t="shared" si="88"/>
        <v>10828332</v>
      </c>
      <c r="G222" s="196">
        <f t="shared" si="88"/>
        <v>87285040</v>
      </c>
      <c r="H222" s="236">
        <f>G222/D222</f>
        <v>0.87728066737021959</v>
      </c>
      <c r="I222" s="209"/>
      <c r="J222" s="294"/>
      <c r="K222" s="295"/>
      <c r="L222" s="295"/>
    </row>
    <row r="223" spans="1:12" s="176" customFormat="1" x14ac:dyDescent="0.25">
      <c r="A223" s="188"/>
      <c r="B223" s="178"/>
      <c r="C223" s="183" t="s">
        <v>77</v>
      </c>
      <c r="D223" s="191">
        <f t="shared" si="88"/>
        <v>99495000</v>
      </c>
      <c r="E223" s="191">
        <f t="shared" si="88"/>
        <v>76456708</v>
      </c>
      <c r="F223" s="191">
        <f t="shared" si="88"/>
        <v>10828332</v>
      </c>
      <c r="G223" s="191">
        <f t="shared" si="88"/>
        <v>87285040</v>
      </c>
      <c r="H223" s="236">
        <f>G223/D223</f>
        <v>0.87728066737021959</v>
      </c>
      <c r="I223" s="207"/>
      <c r="J223" s="294"/>
      <c r="K223" s="295"/>
      <c r="L223" s="295"/>
    </row>
    <row r="224" spans="1:12" s="176" customFormat="1" x14ac:dyDescent="0.25">
      <c r="A224" s="182"/>
      <c r="B224" s="177" t="s">
        <v>79</v>
      </c>
      <c r="C224" s="183" t="s">
        <v>80</v>
      </c>
      <c r="D224" s="192">
        <v>99495000</v>
      </c>
      <c r="E224" s="192">
        <f>'Realisasi Agustus'!H223</f>
        <v>76456708</v>
      </c>
      <c r="F224" s="192">
        <v>10828332</v>
      </c>
      <c r="G224" s="192">
        <f>E224+F224</f>
        <v>87285040</v>
      </c>
      <c r="H224" s="24">
        <f>G224/D224</f>
        <v>0.87728066737021959</v>
      </c>
      <c r="I224" s="207" t="s">
        <v>78</v>
      </c>
      <c r="J224" s="294"/>
      <c r="K224" s="295"/>
      <c r="L224" s="295"/>
    </row>
    <row r="225" spans="1:12" s="176" customFormat="1" x14ac:dyDescent="0.25">
      <c r="A225" s="182"/>
      <c r="B225" s="177"/>
      <c r="C225" s="183"/>
      <c r="D225" s="192"/>
      <c r="E225" s="192"/>
      <c r="F225" s="192"/>
      <c r="G225" s="191"/>
      <c r="H225" s="24"/>
      <c r="I225" s="207"/>
      <c r="J225" s="294"/>
      <c r="K225" s="295"/>
      <c r="L225" s="295"/>
    </row>
    <row r="226" spans="1:12" s="187" customFormat="1" x14ac:dyDescent="0.25">
      <c r="A226" s="165" t="s">
        <v>627</v>
      </c>
      <c r="B226" s="179" t="s">
        <v>446</v>
      </c>
      <c r="C226" s="180" t="s">
        <v>447</v>
      </c>
      <c r="D226" s="191">
        <f>D227</f>
        <v>0</v>
      </c>
      <c r="E226" s="191"/>
      <c r="F226" s="191">
        <f>F227</f>
        <v>0</v>
      </c>
      <c r="G226" s="191">
        <f>G227</f>
        <v>0</v>
      </c>
      <c r="H226" s="253" t="e">
        <f>G226/D226</f>
        <v>#DIV/0!</v>
      </c>
      <c r="I226" s="216"/>
      <c r="J226" s="186"/>
    </row>
    <row r="227" spans="1:12" s="187" customFormat="1" x14ac:dyDescent="0.25">
      <c r="A227" s="254"/>
      <c r="B227" s="179" t="s">
        <v>448</v>
      </c>
      <c r="C227" s="180" t="s">
        <v>449</v>
      </c>
      <c r="D227" s="191">
        <f>SUM(D228:D230)</f>
        <v>0</v>
      </c>
      <c r="E227" s="191"/>
      <c r="F227" s="191">
        <f>SUM(F228:F230)</f>
        <v>0</v>
      </c>
      <c r="G227" s="191">
        <f>SUM(G228:G230)</f>
        <v>0</v>
      </c>
      <c r="H227" s="253" t="e">
        <f>G227/D227</f>
        <v>#DIV/0!</v>
      </c>
      <c r="I227" s="216"/>
      <c r="J227" s="186"/>
    </row>
    <row r="228" spans="1:12" s="176" customFormat="1" x14ac:dyDescent="0.25">
      <c r="A228" s="182"/>
      <c r="B228" s="178"/>
      <c r="C228" s="193" t="s">
        <v>450</v>
      </c>
      <c r="D228" s="192">
        <v>0</v>
      </c>
      <c r="E228" s="192">
        <f>'Realisasi April'!G221</f>
        <v>0</v>
      </c>
      <c r="F228" s="192"/>
      <c r="G228" s="192">
        <f>E228+F228</f>
        <v>0</v>
      </c>
      <c r="H228" s="252" t="e">
        <f>G228/D228</f>
        <v>#DIV/0!</v>
      </c>
      <c r="I228" s="207"/>
      <c r="J228" s="175"/>
    </row>
    <row r="229" spans="1:12" s="176" customFormat="1" x14ac:dyDescent="0.25">
      <c r="A229" s="182"/>
      <c r="B229" s="178"/>
      <c r="C229" s="193" t="s">
        <v>451</v>
      </c>
      <c r="D229" s="192">
        <v>0</v>
      </c>
      <c r="E229" s="192">
        <f>'Realisasi April'!G222</f>
        <v>0</v>
      </c>
      <c r="F229" s="192"/>
      <c r="G229" s="192">
        <f>E229+F229</f>
        <v>0</v>
      </c>
      <c r="H229" s="252" t="e">
        <f>G229/D229</f>
        <v>#DIV/0!</v>
      </c>
      <c r="I229" s="207"/>
      <c r="J229" s="175"/>
    </row>
    <row r="230" spans="1:12" s="176" customFormat="1" x14ac:dyDescent="0.25">
      <c r="A230" s="182"/>
      <c r="B230" s="178"/>
      <c r="C230" s="193"/>
      <c r="D230" s="192"/>
      <c r="E230" s="192"/>
      <c r="F230" s="192"/>
      <c r="G230" s="192"/>
      <c r="H230" s="252"/>
      <c r="I230" s="207"/>
      <c r="J230" s="175"/>
    </row>
    <row r="231" spans="1:12" s="176" customFormat="1" x14ac:dyDescent="0.25">
      <c r="A231" s="182"/>
      <c r="B231" s="36"/>
      <c r="C231" s="37"/>
      <c r="D231" s="192"/>
      <c r="E231" s="192"/>
      <c r="F231" s="192"/>
      <c r="G231" s="191"/>
      <c r="H231" s="236"/>
      <c r="I231" s="222"/>
      <c r="J231" s="175"/>
    </row>
    <row r="232" spans="1:12" s="176" customFormat="1" ht="24.75" customHeight="1" x14ac:dyDescent="0.25">
      <c r="A232" s="126" t="s">
        <v>163</v>
      </c>
      <c r="B232" s="128" t="s">
        <v>164</v>
      </c>
      <c r="C232" s="41" t="s">
        <v>268</v>
      </c>
      <c r="D232" s="42">
        <f>SUM(D233+D417)</f>
        <v>919907598641.33008</v>
      </c>
      <c r="E232" s="42">
        <f>SUM(E233+E417)</f>
        <v>531809911077</v>
      </c>
      <c r="F232" s="42">
        <f>SUM(F233+F417)</f>
        <v>68186384328</v>
      </c>
      <c r="G232" s="42">
        <f>SUM(G233+G417)</f>
        <v>599996295405</v>
      </c>
      <c r="H232" s="237">
        <f t="shared" ref="H232:H237" si="89">G232/D232</f>
        <v>0.65223539439305922</v>
      </c>
      <c r="I232" s="223"/>
      <c r="J232" s="175"/>
      <c r="K232" s="270"/>
    </row>
    <row r="233" spans="1:12" s="176" customFormat="1" x14ac:dyDescent="0.25">
      <c r="A233" s="134" t="s">
        <v>416</v>
      </c>
      <c r="B233" s="135" t="s">
        <v>350</v>
      </c>
      <c r="C233" s="136" t="s">
        <v>351</v>
      </c>
      <c r="D233" s="137">
        <f>SUM(D234+D410)</f>
        <v>774402942753</v>
      </c>
      <c r="E233" s="137">
        <f>SUM(E234+E410)</f>
        <v>458073042646</v>
      </c>
      <c r="F233" s="137">
        <f>SUM(F234+F410)</f>
        <v>68186384328</v>
      </c>
      <c r="G233" s="137">
        <f>SUM(G234+G410)</f>
        <v>526259426974</v>
      </c>
      <c r="H233" s="238">
        <f t="shared" si="89"/>
        <v>0.67956795864327346</v>
      </c>
      <c r="I233" s="223"/>
      <c r="J233" s="175"/>
    </row>
    <row r="234" spans="1:12" s="176" customFormat="1" x14ac:dyDescent="0.25">
      <c r="A234" s="123" t="s">
        <v>89</v>
      </c>
      <c r="B234" s="133" t="s">
        <v>352</v>
      </c>
      <c r="C234" s="124" t="s">
        <v>165</v>
      </c>
      <c r="D234" s="125">
        <f>SUM(D235+D293+D295+D365)</f>
        <v>774402942753</v>
      </c>
      <c r="E234" s="125">
        <f>SUM(E235+E293+E295+E365)</f>
        <v>458073042646</v>
      </c>
      <c r="F234" s="125">
        <f>SUM(F235+F293+F295+F365)</f>
        <v>59323060328</v>
      </c>
      <c r="G234" s="125">
        <f>SUM(G235+G293+G295+G365)</f>
        <v>517396102974</v>
      </c>
      <c r="H234" s="239">
        <f t="shared" si="89"/>
        <v>0.66812259407829533</v>
      </c>
      <c r="I234" s="223"/>
      <c r="J234" s="175"/>
      <c r="K234" s="270"/>
    </row>
    <row r="235" spans="1:12" s="176" customFormat="1" x14ac:dyDescent="0.25">
      <c r="A235" s="138" t="s">
        <v>166</v>
      </c>
      <c r="B235" s="139" t="s">
        <v>353</v>
      </c>
      <c r="C235" s="140" t="s">
        <v>354</v>
      </c>
      <c r="D235" s="141">
        <f>SUM(D236+D260+D264+D268+D272+D276+D280+D285+D288+D258)</f>
        <v>162373681000</v>
      </c>
      <c r="E235" s="141">
        <f>E236+E260+E264+E268+E272+E276+E280+E288+E258</f>
        <v>67295708090</v>
      </c>
      <c r="F235" s="141">
        <f>F236+F260+F264+F268+F272+F276+F280+F288+F258</f>
        <v>17980594800</v>
      </c>
      <c r="G235" s="141">
        <f>G236+G260+G264+G268+G272+G276+G280+G288+G258</f>
        <v>85276302890</v>
      </c>
      <c r="H235" s="240">
        <f t="shared" si="89"/>
        <v>0.52518550029053046</v>
      </c>
      <c r="I235" s="224"/>
      <c r="J235" s="175"/>
      <c r="K235" s="270"/>
    </row>
    <row r="236" spans="1:12" s="187" customFormat="1" x14ac:dyDescent="0.25">
      <c r="A236" s="184" t="s">
        <v>406</v>
      </c>
      <c r="B236" s="189" t="s">
        <v>355</v>
      </c>
      <c r="C236" s="185" t="s">
        <v>356</v>
      </c>
      <c r="D236" s="196">
        <f>D237+D247</f>
        <v>26807415000</v>
      </c>
      <c r="E236" s="196">
        <f t="shared" ref="E236:F236" si="90">E237+E247</f>
        <v>12009639850</v>
      </c>
      <c r="F236" s="196">
        <f t="shared" si="90"/>
        <v>9397229926</v>
      </c>
      <c r="G236" s="196">
        <f>G237+G247</f>
        <v>21406869776</v>
      </c>
      <c r="H236" s="236">
        <f t="shared" si="89"/>
        <v>0.79854285748924314</v>
      </c>
      <c r="I236" s="225" t="s">
        <v>167</v>
      </c>
      <c r="J236" s="186"/>
    </row>
    <row r="237" spans="1:12" s="187" customFormat="1" x14ac:dyDescent="0.25">
      <c r="A237" s="184"/>
      <c r="B237" s="189"/>
      <c r="C237" s="185" t="s">
        <v>633</v>
      </c>
      <c r="D237" s="196">
        <f>SUM(D238:D246)</f>
        <v>26807415000</v>
      </c>
      <c r="E237" s="196">
        <f>SUM(E238:E246)</f>
        <v>12009639850</v>
      </c>
      <c r="F237" s="196">
        <f>SUM(F238:F246)</f>
        <v>7913730250</v>
      </c>
      <c r="G237" s="196">
        <f>SUM(G238:G246)</f>
        <v>19923370100</v>
      </c>
      <c r="H237" s="236">
        <f t="shared" si="89"/>
        <v>0.743203703154519</v>
      </c>
      <c r="I237" s="225"/>
      <c r="J237" s="186"/>
    </row>
    <row r="238" spans="1:12" s="187" customFormat="1" x14ac:dyDescent="0.25">
      <c r="A238" s="184"/>
      <c r="B238" s="190"/>
      <c r="C238" s="193" t="s">
        <v>453</v>
      </c>
      <c r="D238" s="181">
        <v>3820583000</v>
      </c>
      <c r="E238" s="181">
        <f>'Realisasi Agustus'!H237</f>
        <v>2992324000</v>
      </c>
      <c r="F238" s="181"/>
      <c r="G238" s="192">
        <f>E238+F238</f>
        <v>2992324000</v>
      </c>
      <c r="H238" s="24"/>
      <c r="I238" s="225"/>
      <c r="J238" s="186"/>
    </row>
    <row r="239" spans="1:12" s="187" customFormat="1" x14ac:dyDescent="0.25">
      <c r="A239" s="184"/>
      <c r="B239" s="190"/>
      <c r="C239" s="193" t="s">
        <v>454</v>
      </c>
      <c r="D239" s="181">
        <v>16610000</v>
      </c>
      <c r="E239" s="181">
        <f>'Realisasi Agustus'!H238</f>
        <v>2491500</v>
      </c>
      <c r="F239" s="181">
        <f>830500+830500+830500+830500+830500+830500</f>
        <v>4983000</v>
      </c>
      <c r="G239" s="192">
        <f t="shared" ref="G239:G246" si="91">E239+F239</f>
        <v>7474500</v>
      </c>
      <c r="H239" s="24"/>
      <c r="I239" s="225"/>
      <c r="J239" s="186"/>
    </row>
    <row r="240" spans="1:12" s="187" customFormat="1" x14ac:dyDescent="0.25">
      <c r="A240" s="184"/>
      <c r="B240" s="190"/>
      <c r="C240" s="193" t="s">
        <v>455</v>
      </c>
      <c r="D240" s="181">
        <v>2418594000</v>
      </c>
      <c r="E240" s="181">
        <f>'Realisasi Agustus'!H239</f>
        <v>362789100</v>
      </c>
      <c r="F240" s="181">
        <f>120929700+120929700+120929700+120929700+120929700+120929700</f>
        <v>725578200</v>
      </c>
      <c r="G240" s="192">
        <f t="shared" si="91"/>
        <v>1088367300</v>
      </c>
      <c r="H240" s="24"/>
      <c r="I240" s="225"/>
      <c r="J240" s="186"/>
    </row>
    <row r="241" spans="1:13" s="187" customFormat="1" x14ac:dyDescent="0.25">
      <c r="A241" s="184"/>
      <c r="B241" s="190"/>
      <c r="C241" s="193" t="s">
        <v>456</v>
      </c>
      <c r="D241" s="181">
        <v>19697014000</v>
      </c>
      <c r="E241" s="181">
        <f>'Realisasi Agustus'!H240</f>
        <v>8344193400</v>
      </c>
      <c r="F241" s="181">
        <v>6893954900</v>
      </c>
      <c r="G241" s="192">
        <f t="shared" si="91"/>
        <v>15238148300</v>
      </c>
      <c r="H241" s="24"/>
      <c r="I241" s="225"/>
      <c r="J241" s="186"/>
    </row>
    <row r="242" spans="1:13" s="187" customFormat="1" x14ac:dyDescent="0.25">
      <c r="A242" s="184"/>
      <c r="B242" s="190"/>
      <c r="C242" s="193" t="s">
        <v>457</v>
      </c>
      <c r="D242" s="181">
        <v>99893000</v>
      </c>
      <c r="E242" s="181">
        <f>'Realisasi Agustus'!H241</f>
        <v>14983950</v>
      </c>
      <c r="F242" s="181">
        <f>4994650+4994650+4994650+4994650+4994650+4994650</f>
        <v>29967900</v>
      </c>
      <c r="G242" s="192">
        <f t="shared" si="91"/>
        <v>44951850</v>
      </c>
      <c r="H242" s="24"/>
      <c r="I242" s="225"/>
      <c r="J242" s="186"/>
    </row>
    <row r="243" spans="1:13" s="187" customFormat="1" x14ac:dyDescent="0.25">
      <c r="A243" s="184"/>
      <c r="B243" s="190"/>
      <c r="C243" s="193" t="s">
        <v>458</v>
      </c>
      <c r="D243" s="181">
        <v>738000</v>
      </c>
      <c r="E243" s="181">
        <f>'Realisasi Agustus'!H242</f>
        <v>110700</v>
      </c>
      <c r="F243" s="181">
        <f>36900+36900+36900+36900+36900+36900</f>
        <v>221400</v>
      </c>
      <c r="G243" s="192">
        <f t="shared" si="91"/>
        <v>332100</v>
      </c>
      <c r="H243" s="24"/>
      <c r="I243" s="225"/>
      <c r="J243" s="186"/>
    </row>
    <row r="244" spans="1:13" s="187" customFormat="1" x14ac:dyDescent="0.25">
      <c r="A244" s="184"/>
      <c r="B244" s="190"/>
      <c r="C244" s="193" t="s">
        <v>459</v>
      </c>
      <c r="D244" s="181">
        <v>94054000</v>
      </c>
      <c r="E244" s="181">
        <f>'Realisasi Agustus'!H243</f>
        <v>14108100</v>
      </c>
      <c r="F244" s="181">
        <f>4702700+4702700+4702700+4702700+4702700+4702700</f>
        <v>28216200</v>
      </c>
      <c r="G244" s="192">
        <f t="shared" si="91"/>
        <v>42324300</v>
      </c>
      <c r="H244" s="24"/>
      <c r="I244" s="225"/>
      <c r="J244" s="186"/>
    </row>
    <row r="245" spans="1:13" s="187" customFormat="1" x14ac:dyDescent="0.25">
      <c r="A245" s="184"/>
      <c r="B245" s="190"/>
      <c r="C245" s="193" t="s">
        <v>460</v>
      </c>
      <c r="D245" s="181">
        <v>656599000</v>
      </c>
      <c r="E245" s="181">
        <f>'Realisasi Agustus'!H244</f>
        <v>278139600</v>
      </c>
      <c r="F245" s="181">
        <v>229809650</v>
      </c>
      <c r="G245" s="192">
        <f t="shared" si="91"/>
        <v>507949250</v>
      </c>
      <c r="H245" s="24"/>
      <c r="I245" s="225"/>
      <c r="J245" s="186"/>
      <c r="M245" s="187" t="s">
        <v>671</v>
      </c>
    </row>
    <row r="246" spans="1:13" s="187" customFormat="1" x14ac:dyDescent="0.25">
      <c r="A246" s="184"/>
      <c r="B246" s="190"/>
      <c r="C246" s="193" t="s">
        <v>461</v>
      </c>
      <c r="D246" s="181">
        <v>3330000</v>
      </c>
      <c r="E246" s="181">
        <f>'Realisasi Agustus'!H245</f>
        <v>499500</v>
      </c>
      <c r="F246" s="181">
        <f>166500+166500+166500+166500+166500+166500</f>
        <v>999000</v>
      </c>
      <c r="G246" s="192">
        <f t="shared" si="91"/>
        <v>1498500</v>
      </c>
      <c r="H246" s="24"/>
      <c r="I246" s="225"/>
      <c r="J246" s="186"/>
    </row>
    <row r="247" spans="1:13" s="187" customFormat="1" x14ac:dyDescent="0.25">
      <c r="A247" s="184"/>
      <c r="B247" s="190"/>
      <c r="C247" s="35" t="s">
        <v>519</v>
      </c>
      <c r="D247" s="196">
        <f>SUM(D248:D256)</f>
        <v>0</v>
      </c>
      <c r="E247" s="196"/>
      <c r="F247" s="196">
        <f>SUM(F248:F256)</f>
        <v>1483499676</v>
      </c>
      <c r="G247" s="196">
        <f>SUM(G248:G256)</f>
        <v>1483499676</v>
      </c>
      <c r="H247" s="253" t="e">
        <f t="shared" ref="H247:H256" si="92">G247/D247</f>
        <v>#DIV/0!</v>
      </c>
      <c r="I247" s="225"/>
      <c r="J247" s="186"/>
    </row>
    <row r="248" spans="1:13" s="187" customFormat="1" x14ac:dyDescent="0.25">
      <c r="A248" s="184"/>
      <c r="B248" s="190"/>
      <c r="C248" s="193" t="s">
        <v>707</v>
      </c>
      <c r="D248" s="181"/>
      <c r="E248" s="181">
        <f>'Realisasi Agustus'!H247</f>
        <v>0</v>
      </c>
      <c r="F248" s="181">
        <v>803667166</v>
      </c>
      <c r="G248" s="192">
        <f>E248+F248</f>
        <v>803667166</v>
      </c>
      <c r="H248" s="252" t="e">
        <f t="shared" si="92"/>
        <v>#DIV/0!</v>
      </c>
      <c r="I248" s="225"/>
      <c r="J248" s="186"/>
    </row>
    <row r="249" spans="1:13" s="187" customFormat="1" x14ac:dyDescent="0.25">
      <c r="A249" s="184"/>
      <c r="B249" s="190"/>
      <c r="C249" s="193" t="s">
        <v>708</v>
      </c>
      <c r="D249" s="181"/>
      <c r="E249" s="181">
        <f>'Realisasi Agustus'!H248</f>
        <v>0</v>
      </c>
      <c r="F249" s="181">
        <v>6955302</v>
      </c>
      <c r="G249" s="192">
        <f t="shared" ref="G249:G256" si="93">E249+F249</f>
        <v>6955302</v>
      </c>
      <c r="H249" s="252" t="e">
        <f t="shared" si="92"/>
        <v>#DIV/0!</v>
      </c>
      <c r="I249" s="225"/>
      <c r="J249" s="186"/>
    </row>
    <row r="250" spans="1:13" s="187" customFormat="1" x14ac:dyDescent="0.25">
      <c r="A250" s="184"/>
      <c r="B250" s="190"/>
      <c r="C250" s="193" t="s">
        <v>710</v>
      </c>
      <c r="D250" s="181"/>
      <c r="E250" s="181">
        <f>'Realisasi Agustus'!H249</f>
        <v>0</v>
      </c>
      <c r="F250" s="181">
        <v>586910454</v>
      </c>
      <c r="G250" s="192">
        <f t="shared" si="93"/>
        <v>586910454</v>
      </c>
      <c r="H250" s="252" t="e">
        <f t="shared" si="92"/>
        <v>#DIV/0!</v>
      </c>
      <c r="I250" s="225"/>
      <c r="J250" s="186"/>
    </row>
    <row r="251" spans="1:13" s="187" customFormat="1" x14ac:dyDescent="0.25">
      <c r="A251" s="184"/>
      <c r="B251" s="190"/>
      <c r="C251" s="193" t="s">
        <v>709</v>
      </c>
      <c r="D251" s="181"/>
      <c r="E251" s="181">
        <f>'Realisasi Agustus'!H250</f>
        <v>0</v>
      </c>
      <c r="F251" s="181">
        <v>60807157</v>
      </c>
      <c r="G251" s="192">
        <f t="shared" si="93"/>
        <v>60807157</v>
      </c>
      <c r="H251" s="252" t="e">
        <f t="shared" si="92"/>
        <v>#DIV/0!</v>
      </c>
      <c r="I251" s="225"/>
      <c r="J251" s="186"/>
    </row>
    <row r="252" spans="1:13" s="187" customFormat="1" x14ac:dyDescent="0.25">
      <c r="A252" s="184"/>
      <c r="B252" s="190"/>
      <c r="C252" s="193" t="s">
        <v>711</v>
      </c>
      <c r="D252" s="181"/>
      <c r="E252" s="181">
        <f>'Realisasi Agustus'!H251</f>
        <v>0</v>
      </c>
      <c r="F252" s="181">
        <v>309013</v>
      </c>
      <c r="G252" s="192">
        <f t="shared" si="93"/>
        <v>309013</v>
      </c>
      <c r="H252" s="252" t="e">
        <f t="shared" si="92"/>
        <v>#DIV/0!</v>
      </c>
      <c r="I252" s="225"/>
      <c r="J252" s="186"/>
    </row>
    <row r="253" spans="1:13" s="187" customFormat="1" x14ac:dyDescent="0.25">
      <c r="A253" s="184"/>
      <c r="B253" s="190"/>
      <c r="C253" s="193" t="s">
        <v>716</v>
      </c>
      <c r="D253" s="181"/>
      <c r="E253" s="181">
        <f>'Realisasi Agustus'!H252</f>
        <v>0</v>
      </c>
      <c r="F253" s="181">
        <v>22824512</v>
      </c>
      <c r="G253" s="192">
        <f t="shared" si="93"/>
        <v>22824512</v>
      </c>
      <c r="H253" s="252" t="e">
        <f t="shared" si="92"/>
        <v>#DIV/0!</v>
      </c>
      <c r="I253" s="225"/>
      <c r="J253" s="186"/>
    </row>
    <row r="254" spans="1:13" s="187" customFormat="1" x14ac:dyDescent="0.25">
      <c r="A254" s="184"/>
      <c r="B254" s="190"/>
      <c r="C254" s="193" t="s">
        <v>713</v>
      </c>
      <c r="D254" s="181"/>
      <c r="E254" s="181">
        <f>'Realisasi Agustus'!H253</f>
        <v>0</v>
      </c>
      <c r="F254" s="181">
        <v>2026072</v>
      </c>
      <c r="G254" s="192">
        <f t="shared" si="93"/>
        <v>2026072</v>
      </c>
      <c r="H254" s="252" t="e">
        <f t="shared" si="92"/>
        <v>#DIV/0!</v>
      </c>
      <c r="I254" s="225"/>
      <c r="J254" s="186"/>
    </row>
    <row r="255" spans="1:13" s="187" customFormat="1" x14ac:dyDescent="0.25">
      <c r="A255" s="184"/>
      <c r="B255" s="190"/>
      <c r="C255" s="193" t="s">
        <v>714</v>
      </c>
      <c r="D255" s="181"/>
      <c r="E255" s="181">
        <f>'Realisasi Agustus'!H254</f>
        <v>0</v>
      </c>
      <c r="F255" s="181"/>
      <c r="G255" s="192">
        <f t="shared" si="93"/>
        <v>0</v>
      </c>
      <c r="H255" s="252" t="e">
        <f t="shared" si="92"/>
        <v>#DIV/0!</v>
      </c>
      <c r="I255" s="225"/>
      <c r="J255" s="186"/>
    </row>
    <row r="256" spans="1:13" s="187" customFormat="1" x14ac:dyDescent="0.25">
      <c r="A256" s="184"/>
      <c r="B256" s="190"/>
      <c r="C256" s="193" t="s">
        <v>715</v>
      </c>
      <c r="D256" s="181"/>
      <c r="E256" s="181">
        <f>'Realisasi Agustus'!H255</f>
        <v>0</v>
      </c>
      <c r="F256" s="181"/>
      <c r="G256" s="192">
        <f t="shared" si="93"/>
        <v>0</v>
      </c>
      <c r="H256" s="252" t="e">
        <f t="shared" si="92"/>
        <v>#DIV/0!</v>
      </c>
      <c r="I256" s="225"/>
      <c r="J256" s="186"/>
    </row>
    <row r="257" spans="1:10" s="187" customFormat="1" x14ac:dyDescent="0.25">
      <c r="A257" s="184"/>
      <c r="B257" s="190"/>
      <c r="C257" s="193"/>
      <c r="D257" s="181"/>
      <c r="E257" s="181"/>
      <c r="F257" s="181"/>
      <c r="G257" s="192"/>
      <c r="H257" s="24"/>
      <c r="I257" s="225"/>
      <c r="J257" s="186"/>
    </row>
    <row r="258" spans="1:10" s="187" customFormat="1" x14ac:dyDescent="0.25">
      <c r="A258" s="184"/>
      <c r="B258" s="190"/>
      <c r="C258" s="35" t="s">
        <v>688</v>
      </c>
      <c r="D258" s="196">
        <v>261000</v>
      </c>
      <c r="E258" s="196">
        <f>'Realisasi Agustus'!H266</f>
        <v>42840</v>
      </c>
      <c r="F258" s="196"/>
      <c r="G258" s="191">
        <f>E258+F258</f>
        <v>42840</v>
      </c>
      <c r="H258" s="236">
        <f>G258/D258</f>
        <v>0.16413793103448276</v>
      </c>
      <c r="I258" s="225"/>
      <c r="J258" s="186"/>
    </row>
    <row r="259" spans="1:10" s="187" customFormat="1" x14ac:dyDescent="0.25">
      <c r="A259" s="184"/>
      <c r="B259" s="190"/>
      <c r="C259" s="183"/>
      <c r="D259" s="181"/>
      <c r="E259" s="196">
        <f>'Realisasi Juli'!G264</f>
        <v>0</v>
      </c>
      <c r="F259" s="181"/>
      <c r="G259" s="192"/>
      <c r="H259" s="24"/>
      <c r="I259" s="225"/>
      <c r="J259" s="186"/>
    </row>
    <row r="260" spans="1:10" s="187" customFormat="1" x14ac:dyDescent="0.25">
      <c r="A260" s="184" t="s">
        <v>407</v>
      </c>
      <c r="B260" s="189" t="s">
        <v>357</v>
      </c>
      <c r="C260" s="185" t="s">
        <v>358</v>
      </c>
      <c r="D260" s="191">
        <v>26523015000</v>
      </c>
      <c r="E260" s="196">
        <f>SUM(E261:E262)</f>
        <v>10262813600</v>
      </c>
      <c r="F260" s="196">
        <f t="shared" ref="F260:G260" si="94">SUM(F261:F262)</f>
        <v>5304603000</v>
      </c>
      <c r="G260" s="196">
        <f t="shared" si="94"/>
        <v>15567416600</v>
      </c>
      <c r="H260" s="236">
        <f>G260/D260</f>
        <v>0.58693993122576749</v>
      </c>
      <c r="I260" s="225" t="s">
        <v>167</v>
      </c>
      <c r="J260" s="186"/>
    </row>
    <row r="261" spans="1:10" s="187" customFormat="1" x14ac:dyDescent="0.25">
      <c r="A261" s="184"/>
      <c r="B261" s="190"/>
      <c r="C261" s="193" t="s">
        <v>650</v>
      </c>
      <c r="D261" s="192"/>
      <c r="E261" s="181">
        <f>'Realisasi Agustus'!H269</f>
        <v>10262813600</v>
      </c>
      <c r="F261" s="192">
        <v>5304603000</v>
      </c>
      <c r="G261" s="192">
        <f>E261+F261</f>
        <v>15567416600</v>
      </c>
      <c r="H261" s="252" t="e">
        <f>G261/D261</f>
        <v>#DIV/0!</v>
      </c>
      <c r="I261" s="225"/>
      <c r="J261" s="186"/>
    </row>
    <row r="262" spans="1:10" s="187" customFormat="1" x14ac:dyDescent="0.25">
      <c r="A262" s="184"/>
      <c r="B262" s="190"/>
      <c r="C262" s="193" t="s">
        <v>651</v>
      </c>
      <c r="D262" s="192"/>
      <c r="E262" s="181">
        <f>'Realisasi Agustus'!H270</f>
        <v>0</v>
      </c>
      <c r="F262" s="192"/>
      <c r="G262" s="192">
        <f t="shared" ref="G262" si="95">E262+F262</f>
        <v>0</v>
      </c>
      <c r="H262" s="252" t="e">
        <f>G262/D262</f>
        <v>#DIV/0!</v>
      </c>
      <c r="I262" s="225"/>
      <c r="J262" s="186"/>
    </row>
    <row r="263" spans="1:10" s="187" customFormat="1" x14ac:dyDescent="0.25">
      <c r="A263" s="184"/>
      <c r="B263" s="190"/>
      <c r="C263" s="183"/>
      <c r="D263" s="192"/>
      <c r="E263" s="196">
        <f>'Realisasi Juli'!G268</f>
        <v>0</v>
      </c>
      <c r="F263" s="192"/>
      <c r="G263" s="192"/>
      <c r="H263" s="24"/>
      <c r="I263" s="225"/>
      <c r="J263" s="186"/>
    </row>
    <row r="264" spans="1:10" s="187" customFormat="1" x14ac:dyDescent="0.25">
      <c r="A264" s="184" t="s">
        <v>408</v>
      </c>
      <c r="B264" s="189" t="s">
        <v>359</v>
      </c>
      <c r="C264" s="185" t="s">
        <v>360</v>
      </c>
      <c r="D264" s="191">
        <v>1150983000</v>
      </c>
      <c r="E264" s="196">
        <f>E265</f>
        <v>444401600</v>
      </c>
      <c r="F264" s="196">
        <f>F265+F266</f>
        <v>1344320096</v>
      </c>
      <c r="G264" s="196">
        <f>G265+G266</f>
        <v>1788721696</v>
      </c>
      <c r="H264" s="236">
        <f>G264/D264</f>
        <v>1.5540817683666919</v>
      </c>
      <c r="I264" s="225" t="s">
        <v>167</v>
      </c>
      <c r="J264" s="186"/>
    </row>
    <row r="265" spans="1:10" s="187" customFormat="1" x14ac:dyDescent="0.25">
      <c r="A265" s="184"/>
      <c r="B265" s="190"/>
      <c r="C265" s="193" t="s">
        <v>652</v>
      </c>
      <c r="D265" s="192"/>
      <c r="E265" s="181">
        <f>'Realisasi Agustus'!H273</f>
        <v>444401600</v>
      </c>
      <c r="F265" s="192">
        <v>230196600</v>
      </c>
      <c r="G265" s="192">
        <f>E265+F265</f>
        <v>674598200</v>
      </c>
      <c r="H265" s="252" t="e">
        <f>G265/D265</f>
        <v>#DIV/0!</v>
      </c>
      <c r="I265" s="225"/>
      <c r="J265" s="186"/>
    </row>
    <row r="266" spans="1:10" s="187" customFormat="1" x14ac:dyDescent="0.25">
      <c r="A266" s="184"/>
      <c r="B266" s="190"/>
      <c r="C266" s="193" t="s">
        <v>653</v>
      </c>
      <c r="D266" s="192"/>
      <c r="E266" s="181">
        <f>'Realisasi Agustus'!H274</f>
        <v>0</v>
      </c>
      <c r="F266" s="192">
        <v>1114123496</v>
      </c>
      <c r="G266" s="192">
        <f t="shared" ref="G266" si="96">E266+F266</f>
        <v>1114123496</v>
      </c>
      <c r="H266" s="252" t="e">
        <f>G266/D266</f>
        <v>#DIV/0!</v>
      </c>
      <c r="I266" s="225"/>
      <c r="J266" s="186"/>
    </row>
    <row r="267" spans="1:10" s="187" customFormat="1" x14ac:dyDescent="0.25">
      <c r="A267" s="184"/>
      <c r="B267" s="190"/>
      <c r="C267" s="183"/>
      <c r="D267" s="192"/>
      <c r="E267" s="196">
        <f>'Realisasi Juli'!G272</f>
        <v>0</v>
      </c>
      <c r="F267" s="192"/>
      <c r="G267" s="192"/>
      <c r="H267" s="24"/>
      <c r="I267" s="225"/>
      <c r="J267" s="186"/>
    </row>
    <row r="268" spans="1:10" s="187" customFormat="1" x14ac:dyDescent="0.25">
      <c r="A268" s="184" t="s">
        <v>409</v>
      </c>
      <c r="B268" s="189" t="s">
        <v>405</v>
      </c>
      <c r="C268" s="185" t="s">
        <v>361</v>
      </c>
      <c r="D268" s="191">
        <v>90637250000</v>
      </c>
      <c r="E268" s="196">
        <f>SUM(E269:E270)</f>
        <v>39076182900</v>
      </c>
      <c r="F268" s="196">
        <f t="shared" ref="F268:G268" si="97">SUM(F269:F270)</f>
        <v>1934441778</v>
      </c>
      <c r="G268" s="196">
        <f t="shared" si="97"/>
        <v>41010624678</v>
      </c>
      <c r="H268" s="236">
        <f>G268/D268</f>
        <v>0.45246986948522822</v>
      </c>
      <c r="I268" s="225" t="s">
        <v>167</v>
      </c>
      <c r="J268" s="186"/>
    </row>
    <row r="269" spans="1:10" s="187" customFormat="1" x14ac:dyDescent="0.25">
      <c r="A269" s="184"/>
      <c r="B269" s="190"/>
      <c r="C269" s="193" t="s">
        <v>654</v>
      </c>
      <c r="D269" s="192"/>
      <c r="E269" s="181">
        <f>'Realisasi Agustus'!H277</f>
        <v>39076182900</v>
      </c>
      <c r="F269" s="192"/>
      <c r="G269" s="192">
        <f>E269+F269</f>
        <v>39076182900</v>
      </c>
      <c r="H269" s="252" t="e">
        <f>G269/D269</f>
        <v>#DIV/0!</v>
      </c>
      <c r="I269" s="225"/>
      <c r="J269" s="186"/>
    </row>
    <row r="270" spans="1:10" s="187" customFormat="1" x14ac:dyDescent="0.25">
      <c r="A270" s="184"/>
      <c r="B270" s="190"/>
      <c r="C270" s="193" t="s">
        <v>655</v>
      </c>
      <c r="D270" s="192"/>
      <c r="E270" s="181">
        <f>'Realisasi Agustus'!H278</f>
        <v>0</v>
      </c>
      <c r="F270" s="192">
        <v>1934441778</v>
      </c>
      <c r="G270" s="192">
        <f t="shared" ref="G270" si="98">E270+F270</f>
        <v>1934441778</v>
      </c>
      <c r="H270" s="252" t="e">
        <f>G270/D270</f>
        <v>#DIV/0!</v>
      </c>
      <c r="I270" s="225"/>
      <c r="J270" s="186"/>
    </row>
    <row r="271" spans="1:10" s="187" customFormat="1" x14ac:dyDescent="0.25">
      <c r="A271" s="184"/>
      <c r="B271" s="190"/>
      <c r="C271" s="193"/>
      <c r="D271" s="192"/>
      <c r="E271" s="196">
        <f>'Realisasi Juli'!G276</f>
        <v>0</v>
      </c>
      <c r="F271" s="192"/>
      <c r="G271" s="192"/>
      <c r="H271" s="24"/>
      <c r="I271" s="225"/>
      <c r="J271" s="186"/>
    </row>
    <row r="272" spans="1:10" s="187" customFormat="1" x14ac:dyDescent="0.25">
      <c r="A272" s="188" t="s">
        <v>410</v>
      </c>
      <c r="B272" s="189" t="s">
        <v>462</v>
      </c>
      <c r="C272" s="185" t="s">
        <v>463</v>
      </c>
      <c r="D272" s="191">
        <v>3994893000</v>
      </c>
      <c r="E272" s="196">
        <f>E273</f>
        <v>1731105900</v>
      </c>
      <c r="F272" s="196">
        <f t="shared" ref="F272:G272" si="99">F273</f>
        <v>0</v>
      </c>
      <c r="G272" s="196">
        <f t="shared" si="99"/>
        <v>1731105900</v>
      </c>
      <c r="H272" s="236">
        <f>G272/D272</f>
        <v>0.43332972873115749</v>
      </c>
      <c r="I272" s="225"/>
      <c r="J272" s="186"/>
    </row>
    <row r="273" spans="1:10" s="187" customFormat="1" x14ac:dyDescent="0.25">
      <c r="A273" s="188"/>
      <c r="B273" s="190"/>
      <c r="C273" s="193" t="s">
        <v>656</v>
      </c>
      <c r="D273" s="192"/>
      <c r="E273" s="181">
        <f>'Realisasi Agustus'!H281</f>
        <v>1731105900</v>
      </c>
      <c r="F273" s="192"/>
      <c r="G273" s="192">
        <f>E273+F273</f>
        <v>1731105900</v>
      </c>
      <c r="H273" s="252" t="e">
        <f>G273/D273</f>
        <v>#DIV/0!</v>
      </c>
      <c r="I273" s="225"/>
      <c r="J273" s="186"/>
    </row>
    <row r="274" spans="1:10" s="187" customFormat="1" x14ac:dyDescent="0.25">
      <c r="A274" s="188"/>
      <c r="B274" s="190"/>
      <c r="C274" s="193" t="s">
        <v>657</v>
      </c>
      <c r="D274" s="192"/>
      <c r="E274" s="181">
        <f>'Realisasi Agustus'!H282</f>
        <v>0</v>
      </c>
      <c r="F274" s="192"/>
      <c r="G274" s="192">
        <f>E274+F274</f>
        <v>0</v>
      </c>
      <c r="H274" s="252" t="e">
        <f>G274/D274</f>
        <v>#DIV/0!</v>
      </c>
      <c r="I274" s="225"/>
      <c r="J274" s="186"/>
    </row>
    <row r="275" spans="1:10" s="187" customFormat="1" x14ac:dyDescent="0.25">
      <c r="A275" s="188"/>
      <c r="B275" s="190"/>
      <c r="C275" s="193"/>
      <c r="D275" s="192"/>
      <c r="E275" s="196">
        <f>'Realisasi Juli'!G280</f>
        <v>0</v>
      </c>
      <c r="F275" s="192"/>
      <c r="G275" s="192"/>
      <c r="H275" s="24"/>
      <c r="I275" s="225"/>
      <c r="J275" s="186"/>
    </row>
    <row r="276" spans="1:10" s="187" customFormat="1" x14ac:dyDescent="0.25">
      <c r="A276" s="188" t="s">
        <v>411</v>
      </c>
      <c r="B276" s="189" t="s">
        <v>362</v>
      </c>
      <c r="C276" s="185" t="s">
        <v>363</v>
      </c>
      <c r="D276" s="191">
        <v>2892430000</v>
      </c>
      <c r="E276" s="196">
        <f>E277</f>
        <v>676627200</v>
      </c>
      <c r="F276" s="196">
        <f t="shared" ref="F276:G276" si="100">F277</f>
        <v>0</v>
      </c>
      <c r="G276" s="196">
        <f t="shared" si="100"/>
        <v>676627200</v>
      </c>
      <c r="H276" s="236">
        <f>G276/D276</f>
        <v>0.23393036305113693</v>
      </c>
      <c r="I276" s="225" t="s">
        <v>167</v>
      </c>
      <c r="J276" s="186"/>
    </row>
    <row r="277" spans="1:10" s="187" customFormat="1" x14ac:dyDescent="0.25">
      <c r="A277" s="188"/>
      <c r="B277" s="190"/>
      <c r="C277" s="193" t="s">
        <v>658</v>
      </c>
      <c r="D277" s="192"/>
      <c r="E277" s="181">
        <f>'Realisasi Agustus'!H285</f>
        <v>676627200</v>
      </c>
      <c r="F277" s="192"/>
      <c r="G277" s="192">
        <f>E277+F277</f>
        <v>676627200</v>
      </c>
      <c r="H277" s="252" t="e">
        <f>G277/D277</f>
        <v>#DIV/0!</v>
      </c>
      <c r="I277" s="225"/>
      <c r="J277" s="186"/>
    </row>
    <row r="278" spans="1:10" s="187" customFormat="1" x14ac:dyDescent="0.25">
      <c r="A278" s="188"/>
      <c r="B278" s="190"/>
      <c r="C278" s="193" t="s">
        <v>659</v>
      </c>
      <c r="D278" s="192"/>
      <c r="E278" s="181">
        <f>'Realisasi Agustus'!H286</f>
        <v>0</v>
      </c>
      <c r="F278" s="192"/>
      <c r="G278" s="192">
        <f>E278+F278</f>
        <v>0</v>
      </c>
      <c r="H278" s="252" t="e">
        <f>G278/D278</f>
        <v>#DIV/0!</v>
      </c>
      <c r="I278" s="225"/>
      <c r="J278" s="186"/>
    </row>
    <row r="279" spans="1:10" s="187" customFormat="1" x14ac:dyDescent="0.25">
      <c r="A279" s="188"/>
      <c r="B279" s="190"/>
      <c r="C279" s="193"/>
      <c r="D279" s="192"/>
      <c r="E279" s="196">
        <f>'Realisasi Juli'!G284</f>
        <v>0</v>
      </c>
      <c r="F279" s="192"/>
      <c r="G279" s="192">
        <f t="shared" ref="G279" si="101">F279</f>
        <v>0</v>
      </c>
      <c r="H279" s="24"/>
      <c r="I279" s="225"/>
      <c r="J279" s="186"/>
    </row>
    <row r="280" spans="1:10" s="187" customFormat="1" x14ac:dyDescent="0.25">
      <c r="A280" s="188" t="s">
        <v>412</v>
      </c>
      <c r="B280" s="189" t="s">
        <v>364</v>
      </c>
      <c r="C280" s="185" t="s">
        <v>365</v>
      </c>
      <c r="D280" s="191">
        <v>8409123000</v>
      </c>
      <c r="E280" s="196">
        <f>E281</f>
        <v>2519246400</v>
      </c>
      <c r="F280" s="196">
        <f t="shared" ref="F280:G280" si="102">F281</f>
        <v>0</v>
      </c>
      <c r="G280" s="196">
        <f t="shared" si="102"/>
        <v>2519246400</v>
      </c>
      <c r="H280" s="236">
        <f>G280/D280</f>
        <v>0.29958491509756724</v>
      </c>
      <c r="I280" s="225" t="s">
        <v>167</v>
      </c>
      <c r="J280" s="186"/>
    </row>
    <row r="281" spans="1:10" s="187" customFormat="1" x14ac:dyDescent="0.25">
      <c r="A281" s="188"/>
      <c r="B281" s="190"/>
      <c r="C281" s="193" t="s">
        <v>660</v>
      </c>
      <c r="D281" s="192"/>
      <c r="E281" s="181">
        <f>'Realisasi Agustus'!H289</f>
        <v>2519246400</v>
      </c>
      <c r="F281" s="192"/>
      <c r="G281" s="192">
        <f>E281+F281</f>
        <v>2519246400</v>
      </c>
      <c r="H281" s="252" t="e">
        <f>G281/D281</f>
        <v>#DIV/0!</v>
      </c>
      <c r="I281" s="225"/>
      <c r="J281" s="186"/>
    </row>
    <row r="282" spans="1:10" s="187" customFormat="1" x14ac:dyDescent="0.25">
      <c r="A282" s="188"/>
      <c r="B282" s="190"/>
      <c r="C282" s="35" t="s">
        <v>529</v>
      </c>
      <c r="D282" s="191"/>
      <c r="E282" s="196">
        <f>'Realisasi Juli'!G287</f>
        <v>0</v>
      </c>
      <c r="F282" s="191">
        <f>SUM(F283:F283)</f>
        <v>0</v>
      </c>
      <c r="G282" s="192">
        <f t="shared" ref="G282:G283" si="103">E282+F282</f>
        <v>0</v>
      </c>
      <c r="H282" s="253" t="e">
        <f>G282/D282</f>
        <v>#DIV/0!</v>
      </c>
      <c r="I282" s="225"/>
      <c r="J282" s="186"/>
    </row>
    <row r="283" spans="1:10" s="187" customFormat="1" x14ac:dyDescent="0.25">
      <c r="A283" s="188"/>
      <c r="B283" s="190"/>
      <c r="C283" s="193" t="s">
        <v>661</v>
      </c>
      <c r="D283" s="192"/>
      <c r="E283" s="196">
        <f>'Realisasi Agustus'!H291</f>
        <v>0</v>
      </c>
      <c r="F283" s="192"/>
      <c r="G283" s="192">
        <f t="shared" si="103"/>
        <v>0</v>
      </c>
      <c r="H283" s="252" t="e">
        <f>G283/D283</f>
        <v>#DIV/0!</v>
      </c>
      <c r="I283" s="225"/>
      <c r="J283" s="186"/>
    </row>
    <row r="284" spans="1:10" s="187" customFormat="1" x14ac:dyDescent="0.25">
      <c r="A284" s="188"/>
      <c r="B284" s="190"/>
      <c r="C284" s="193"/>
      <c r="D284" s="192"/>
      <c r="E284" s="196">
        <f>'Realisasi Juli'!G289</f>
        <v>0</v>
      </c>
      <c r="F284" s="192"/>
      <c r="G284" s="192"/>
      <c r="H284" s="24"/>
      <c r="I284" s="225"/>
      <c r="J284" s="186"/>
    </row>
    <row r="285" spans="1:10" s="187" customFormat="1" hidden="1" x14ac:dyDescent="0.25">
      <c r="A285" s="188" t="s">
        <v>464</v>
      </c>
      <c r="B285" s="189" t="s">
        <v>466</v>
      </c>
      <c r="C285" s="185" t="s">
        <v>467</v>
      </c>
      <c r="D285" s="191"/>
      <c r="E285" s="196" t="e">
        <f>'Realisasi Juli'!G290</f>
        <v>#REF!</v>
      </c>
      <c r="F285" s="191">
        <f t="shared" ref="F285:G285" si="104">SUM(F286:F287)</f>
        <v>0</v>
      </c>
      <c r="G285" s="191" t="e">
        <f t="shared" si="104"/>
        <v>#REF!</v>
      </c>
      <c r="H285" s="24"/>
      <c r="I285" s="225"/>
      <c r="J285" s="186"/>
    </row>
    <row r="286" spans="1:10" s="187" customFormat="1" hidden="1" x14ac:dyDescent="0.25">
      <c r="A286" s="188"/>
      <c r="B286" s="190"/>
      <c r="C286" s="193" t="s">
        <v>487</v>
      </c>
      <c r="D286" s="192"/>
      <c r="E286" s="196" t="e">
        <f>'Realisasi Juli'!G291</f>
        <v>#REF!</v>
      </c>
      <c r="F286" s="192">
        <v>0</v>
      </c>
      <c r="G286" s="192" t="e">
        <f>#REF!+F286</f>
        <v>#REF!</v>
      </c>
      <c r="H286" s="24"/>
      <c r="I286" s="225"/>
      <c r="J286" s="186"/>
    </row>
    <row r="287" spans="1:10" s="187" customFormat="1" hidden="1" x14ac:dyDescent="0.25">
      <c r="A287" s="188"/>
      <c r="B287" s="190"/>
      <c r="C287" s="193"/>
      <c r="D287" s="192"/>
      <c r="E287" s="196">
        <f>'Realisasi Juli'!G292</f>
        <v>0</v>
      </c>
      <c r="F287" s="192"/>
      <c r="G287" s="192"/>
      <c r="H287" s="24"/>
      <c r="I287" s="225"/>
      <c r="J287" s="186"/>
    </row>
    <row r="288" spans="1:10" s="187" customFormat="1" x14ac:dyDescent="0.25">
      <c r="A288" s="188" t="s">
        <v>465</v>
      </c>
      <c r="B288" s="189" t="s">
        <v>366</v>
      </c>
      <c r="C288" s="185" t="s">
        <v>367</v>
      </c>
      <c r="D288" s="191">
        <v>1958311000</v>
      </c>
      <c r="E288" s="196">
        <f>E289</f>
        <v>575647800</v>
      </c>
      <c r="F288" s="196">
        <f t="shared" ref="F288:G288" si="105">F289</f>
        <v>0</v>
      </c>
      <c r="G288" s="196">
        <f t="shared" si="105"/>
        <v>575647800</v>
      </c>
      <c r="H288" s="236">
        <f>G288/D288</f>
        <v>0.29395116506009517</v>
      </c>
      <c r="I288" s="225" t="s">
        <v>167</v>
      </c>
      <c r="J288" s="186"/>
    </row>
    <row r="289" spans="1:10" s="187" customFormat="1" x14ac:dyDescent="0.25">
      <c r="A289" s="188"/>
      <c r="B289" s="190"/>
      <c r="C289" s="193" t="s">
        <v>662</v>
      </c>
      <c r="D289" s="192"/>
      <c r="E289" s="181">
        <f>'Realisasi Agustus'!H297</f>
        <v>575647800</v>
      </c>
      <c r="F289" s="192"/>
      <c r="G289" s="192">
        <f>E289+F289</f>
        <v>575647800</v>
      </c>
      <c r="H289" s="252" t="e">
        <f>G289/D289</f>
        <v>#DIV/0!</v>
      </c>
      <c r="I289" s="225"/>
      <c r="J289" s="186"/>
    </row>
    <row r="290" spans="1:10" s="187" customFormat="1" x14ac:dyDescent="0.25">
      <c r="A290" s="188"/>
      <c r="B290" s="190"/>
      <c r="C290" s="35" t="s">
        <v>530</v>
      </c>
      <c r="D290" s="191"/>
      <c r="E290" s="196">
        <f>'Realisasi Juli'!G295</f>
        <v>0</v>
      </c>
      <c r="F290" s="191">
        <f>SUM(F291:F291)</f>
        <v>0</v>
      </c>
      <c r="G290" s="191">
        <f>SUM(G291:G291)</f>
        <v>0</v>
      </c>
      <c r="H290" s="253" t="e">
        <f>G290/D290</f>
        <v>#DIV/0!</v>
      </c>
      <c r="I290" s="225"/>
      <c r="J290" s="186"/>
    </row>
    <row r="291" spans="1:10" s="187" customFormat="1" x14ac:dyDescent="0.25">
      <c r="A291" s="188"/>
      <c r="B291" s="190"/>
      <c r="C291" s="193" t="s">
        <v>663</v>
      </c>
      <c r="D291" s="192"/>
      <c r="E291" s="196">
        <f>'Realisasi Agustus'!H299</f>
        <v>0</v>
      </c>
      <c r="F291" s="192"/>
      <c r="G291" s="192">
        <f>E291+F291</f>
        <v>0</v>
      </c>
      <c r="H291" s="252" t="e">
        <f>G291/D291</f>
        <v>#DIV/0!</v>
      </c>
      <c r="I291" s="225"/>
      <c r="J291" s="186"/>
    </row>
    <row r="292" spans="1:10" s="176" customFormat="1" x14ac:dyDescent="0.25">
      <c r="A292" s="27"/>
      <c r="B292" s="178"/>
      <c r="C292" s="183"/>
      <c r="D292" s="192"/>
      <c r="E292" s="192"/>
      <c r="F292" s="192"/>
      <c r="G292" s="191"/>
      <c r="H292" s="236"/>
      <c r="I292" s="224"/>
      <c r="J292" s="175"/>
    </row>
    <row r="293" spans="1:10" s="176" customFormat="1" x14ac:dyDescent="0.25">
      <c r="A293" s="138" t="s">
        <v>169</v>
      </c>
      <c r="B293" s="139" t="s">
        <v>368</v>
      </c>
      <c r="C293" s="140" t="s">
        <v>369</v>
      </c>
      <c r="D293" s="142">
        <v>429554051000</v>
      </c>
      <c r="E293" s="142">
        <f>'Realisasi Agustus'!H301</f>
        <v>320353736138</v>
      </c>
      <c r="F293" s="142">
        <v>35796170000</v>
      </c>
      <c r="G293" s="141">
        <f>E293+F293</f>
        <v>356149906138</v>
      </c>
      <c r="H293" s="240">
        <f>G293/D293</f>
        <v>0.8291154636043695</v>
      </c>
      <c r="I293" s="225" t="s">
        <v>468</v>
      </c>
      <c r="J293" s="175"/>
    </row>
    <row r="294" spans="1:10" s="176" customFormat="1" x14ac:dyDescent="0.25">
      <c r="A294" s="27"/>
      <c r="B294" s="178"/>
      <c r="C294" s="39"/>
      <c r="D294" s="38"/>
      <c r="E294" s="38"/>
      <c r="F294" s="38"/>
      <c r="G294" s="38"/>
      <c r="H294" s="241"/>
      <c r="I294" s="225"/>
      <c r="J294" s="175"/>
    </row>
    <row r="295" spans="1:10" s="176" customFormat="1" x14ac:dyDescent="0.25">
      <c r="A295" s="138" t="s">
        <v>170</v>
      </c>
      <c r="B295" s="139" t="s">
        <v>370</v>
      </c>
      <c r="C295" s="140" t="s">
        <v>371</v>
      </c>
      <c r="D295" s="141">
        <f>SUM(D297+D350+D327)</f>
        <v>62721068973</v>
      </c>
      <c r="E295" s="141">
        <f t="shared" ref="E295:G295" si="106">SUM(E297+E350+E327)</f>
        <v>36835812351</v>
      </c>
      <c r="F295" s="141">
        <f t="shared" si="106"/>
        <v>5546295528</v>
      </c>
      <c r="G295" s="141">
        <f t="shared" si="106"/>
        <v>42382107879</v>
      </c>
      <c r="H295" s="240">
        <f>G295/D295</f>
        <v>0.67572362163094735</v>
      </c>
      <c r="I295" s="225" t="s">
        <v>469</v>
      </c>
      <c r="J295" s="175"/>
    </row>
    <row r="296" spans="1:10" s="176" customFormat="1" x14ac:dyDescent="0.25">
      <c r="A296" s="40"/>
      <c r="B296" s="22"/>
      <c r="C296" s="185"/>
      <c r="D296" s="191"/>
      <c r="E296" s="191"/>
      <c r="F296" s="191"/>
      <c r="G296" s="191"/>
      <c r="H296" s="236"/>
      <c r="I296" s="224"/>
      <c r="J296" s="175"/>
    </row>
    <row r="297" spans="1:10" s="176" customFormat="1" ht="38.25" customHeight="1" x14ac:dyDescent="0.25">
      <c r="A297" s="293"/>
      <c r="B297" s="262" t="s">
        <v>413</v>
      </c>
      <c r="C297" s="41" t="s">
        <v>171</v>
      </c>
      <c r="D297" s="42">
        <f>SUM(D304+D311+D313+D315+D317+D319+D321+D298+D324)</f>
        <v>62721068973</v>
      </c>
      <c r="E297" s="42">
        <f>E298+E304+E315+E317+E321+E324</f>
        <v>36835812351</v>
      </c>
      <c r="F297" s="42">
        <f t="shared" ref="F297:G297" si="107">F298+F304+F315+F317+F321+F324</f>
        <v>5546295528</v>
      </c>
      <c r="G297" s="42">
        <f t="shared" si="107"/>
        <v>42382107879</v>
      </c>
      <c r="H297" s="237">
        <f t="shared" ref="H297:H320" si="108">G297/D297</f>
        <v>0.67572362163094735</v>
      </c>
      <c r="I297" s="225" t="s">
        <v>470</v>
      </c>
      <c r="J297" s="175"/>
    </row>
    <row r="298" spans="1:10" s="176" customFormat="1" x14ac:dyDescent="0.25">
      <c r="A298" s="40"/>
      <c r="B298" s="43">
        <v>1</v>
      </c>
      <c r="C298" s="185" t="s">
        <v>172</v>
      </c>
      <c r="D298" s="191">
        <f>SUM(D299:D303)</f>
        <v>23287427000</v>
      </c>
      <c r="E298" s="191">
        <f>SUM(E299:E303)</f>
        <v>16887041500</v>
      </c>
      <c r="F298" s="191">
        <f t="shared" ref="F298:G298" si="109">SUM(F299:F303)</f>
        <v>0</v>
      </c>
      <c r="G298" s="191">
        <f t="shared" si="109"/>
        <v>16887041500</v>
      </c>
      <c r="H298" s="236">
        <f t="shared" si="108"/>
        <v>0.72515703430868517</v>
      </c>
      <c r="I298" s="225"/>
      <c r="J298" s="175"/>
    </row>
    <row r="299" spans="1:10" s="176" customFormat="1" x14ac:dyDescent="0.25">
      <c r="A299" s="40"/>
      <c r="B299" s="190" t="s">
        <v>531</v>
      </c>
      <c r="C299" s="193" t="s">
        <v>173</v>
      </c>
      <c r="D299" s="192">
        <v>1376396000</v>
      </c>
      <c r="E299" s="192">
        <f>'Realisasi Agustus'!H307</f>
        <v>735977200</v>
      </c>
      <c r="F299" s="192"/>
      <c r="G299" s="192">
        <f>E299+F299</f>
        <v>735977200</v>
      </c>
      <c r="H299" s="24">
        <f t="shared" si="108"/>
        <v>0.53471326565901089</v>
      </c>
      <c r="I299" s="225" t="s">
        <v>471</v>
      </c>
      <c r="J299" s="175"/>
    </row>
    <row r="300" spans="1:10" s="176" customFormat="1" x14ac:dyDescent="0.25">
      <c r="A300" s="40"/>
      <c r="B300" s="190" t="s">
        <v>532</v>
      </c>
      <c r="C300" s="193" t="s">
        <v>174</v>
      </c>
      <c r="D300" s="192">
        <v>10775078000</v>
      </c>
      <c r="E300" s="192">
        <f>'Realisasi Agustus'!H308</f>
        <v>8870817600</v>
      </c>
      <c r="F300" s="192"/>
      <c r="G300" s="192">
        <f t="shared" ref="G300:G303" si="110">E300+F300</f>
        <v>8870817600</v>
      </c>
      <c r="H300" s="24">
        <f t="shared" si="108"/>
        <v>0.82327177585164579</v>
      </c>
      <c r="I300" s="225" t="s">
        <v>471</v>
      </c>
      <c r="J300" s="175"/>
    </row>
    <row r="301" spans="1:10" s="176" customFormat="1" x14ac:dyDescent="0.25">
      <c r="A301" s="40"/>
      <c r="B301" s="190" t="s">
        <v>533</v>
      </c>
      <c r="C301" s="193" t="s">
        <v>175</v>
      </c>
      <c r="D301" s="192">
        <v>10360454000</v>
      </c>
      <c r="E301" s="192">
        <f>'Realisasi Agustus'!H309</f>
        <v>6507230800</v>
      </c>
      <c r="F301" s="192"/>
      <c r="G301" s="192">
        <f t="shared" si="110"/>
        <v>6507230800</v>
      </c>
      <c r="H301" s="24">
        <f t="shared" si="108"/>
        <v>0.62808355695609475</v>
      </c>
      <c r="I301" s="225" t="s">
        <v>471</v>
      </c>
      <c r="J301" s="175"/>
    </row>
    <row r="302" spans="1:10" s="176" customFormat="1" x14ac:dyDescent="0.25">
      <c r="A302" s="40"/>
      <c r="B302" s="190"/>
      <c r="C302" s="193" t="s">
        <v>684</v>
      </c>
      <c r="D302" s="192">
        <v>470885000</v>
      </c>
      <c r="E302" s="192">
        <f>'Realisasi Agustus'!H310</f>
        <v>470885000</v>
      </c>
      <c r="F302" s="192"/>
      <c r="G302" s="192">
        <f t="shared" si="110"/>
        <v>470885000</v>
      </c>
      <c r="H302" s="24">
        <f t="shared" si="108"/>
        <v>1</v>
      </c>
      <c r="I302" s="225"/>
      <c r="J302" s="175"/>
    </row>
    <row r="303" spans="1:10" s="176" customFormat="1" x14ac:dyDescent="0.25">
      <c r="A303" s="40"/>
      <c r="B303" s="190" t="s">
        <v>534</v>
      </c>
      <c r="C303" s="193" t="s">
        <v>176</v>
      </c>
      <c r="D303" s="192">
        <v>304614000</v>
      </c>
      <c r="E303" s="192">
        <f>'Realisasi Agustus'!H311</f>
        <v>302130900</v>
      </c>
      <c r="F303" s="192"/>
      <c r="G303" s="192">
        <f t="shared" si="110"/>
        <v>302130900</v>
      </c>
      <c r="H303" s="24">
        <f t="shared" si="108"/>
        <v>0.99184837203805476</v>
      </c>
      <c r="I303" s="225" t="s">
        <v>471</v>
      </c>
      <c r="J303" s="175"/>
    </row>
    <row r="304" spans="1:10" s="176" customFormat="1" x14ac:dyDescent="0.25">
      <c r="A304" s="40"/>
      <c r="B304" s="43">
        <v>2</v>
      </c>
      <c r="C304" s="185" t="s">
        <v>177</v>
      </c>
      <c r="D304" s="191">
        <f>SUM(D305:D310)</f>
        <v>21101016973</v>
      </c>
      <c r="E304" s="191">
        <f t="shared" ref="E304:G304" si="111">SUM(E305:E310)</f>
        <v>12062522351</v>
      </c>
      <c r="F304" s="191">
        <f t="shared" si="111"/>
        <v>2761433628</v>
      </c>
      <c r="G304" s="191">
        <f t="shared" si="111"/>
        <v>14823955979</v>
      </c>
      <c r="H304" s="236">
        <f t="shared" si="108"/>
        <v>0.70252329534487035</v>
      </c>
      <c r="I304" s="225"/>
      <c r="J304" s="175"/>
    </row>
    <row r="305" spans="1:10" s="176" customFormat="1" x14ac:dyDescent="0.25">
      <c r="A305" s="40"/>
      <c r="B305" s="190" t="s">
        <v>535</v>
      </c>
      <c r="C305" s="193" t="s">
        <v>178</v>
      </c>
      <c r="D305" s="192"/>
      <c r="E305" s="192">
        <f>'Realisasi Agustus'!H313</f>
        <v>0</v>
      </c>
      <c r="F305" s="192"/>
      <c r="G305" s="192">
        <f>E305+F305</f>
        <v>0</v>
      </c>
      <c r="H305" s="252" t="e">
        <f t="shared" si="108"/>
        <v>#DIV/0!</v>
      </c>
      <c r="I305" s="225" t="s">
        <v>471</v>
      </c>
      <c r="J305" s="175"/>
    </row>
    <row r="306" spans="1:10" s="176" customFormat="1" x14ac:dyDescent="0.25">
      <c r="A306" s="40"/>
      <c r="B306" s="190" t="s">
        <v>536</v>
      </c>
      <c r="C306" s="193" t="s">
        <v>372</v>
      </c>
      <c r="D306" s="192"/>
      <c r="E306" s="192">
        <f>'Realisasi Agustus'!H314</f>
        <v>0</v>
      </c>
      <c r="F306" s="192"/>
      <c r="G306" s="192">
        <f t="shared" ref="G306:G318" si="112">E306+F306</f>
        <v>0</v>
      </c>
      <c r="H306" s="252" t="e">
        <f t="shared" si="108"/>
        <v>#DIV/0!</v>
      </c>
      <c r="I306" s="225" t="s">
        <v>471</v>
      </c>
      <c r="J306" s="175"/>
    </row>
    <row r="307" spans="1:10" s="176" customFormat="1" x14ac:dyDescent="0.25">
      <c r="A307" s="40"/>
      <c r="B307" s="190" t="s">
        <v>537</v>
      </c>
      <c r="C307" s="193" t="s">
        <v>179</v>
      </c>
      <c r="D307" s="192">
        <v>2892701000</v>
      </c>
      <c r="E307" s="192">
        <f>'Realisasi Agustus'!H315</f>
        <v>604087061</v>
      </c>
      <c r="F307" s="192">
        <v>920719470</v>
      </c>
      <c r="G307" s="192">
        <f t="shared" si="112"/>
        <v>1524806531</v>
      </c>
      <c r="H307" s="24">
        <f t="shared" si="108"/>
        <v>0.52712206723059174</v>
      </c>
      <c r="I307" s="225" t="s">
        <v>471</v>
      </c>
      <c r="J307" s="175"/>
    </row>
    <row r="308" spans="1:10" s="176" customFormat="1" x14ac:dyDescent="0.25">
      <c r="A308" s="40"/>
      <c r="B308" s="190" t="s">
        <v>538</v>
      </c>
      <c r="C308" s="193" t="s">
        <v>180</v>
      </c>
      <c r="D308" s="192">
        <v>12902970863</v>
      </c>
      <c r="E308" s="192">
        <f>'Realisasi Agustus'!H316</f>
        <v>8928197182</v>
      </c>
      <c r="F308" s="192">
        <f>21945000+875969158</f>
        <v>897914158</v>
      </c>
      <c r="G308" s="192">
        <f t="shared" si="112"/>
        <v>9826111340</v>
      </c>
      <c r="H308" s="24">
        <f t="shared" si="108"/>
        <v>0.76153867542062981</v>
      </c>
      <c r="I308" s="225" t="s">
        <v>471</v>
      </c>
      <c r="J308" s="175"/>
    </row>
    <row r="309" spans="1:10" s="176" customFormat="1" x14ac:dyDescent="0.25">
      <c r="A309" s="40"/>
      <c r="B309" s="190" t="s">
        <v>373</v>
      </c>
      <c r="C309" s="193" t="s">
        <v>181</v>
      </c>
      <c r="D309" s="192">
        <v>1124477000</v>
      </c>
      <c r="E309" s="192">
        <f>'Realisasi Agustus'!H317</f>
        <v>138530000</v>
      </c>
      <c r="F309" s="192">
        <v>942800000</v>
      </c>
      <c r="G309" s="192">
        <f t="shared" si="112"/>
        <v>1081330000</v>
      </c>
      <c r="H309" s="24">
        <f t="shared" si="108"/>
        <v>0.96162927298646395</v>
      </c>
      <c r="I309" s="225" t="s">
        <v>471</v>
      </c>
      <c r="J309" s="175"/>
    </row>
    <row r="310" spans="1:10" s="176" customFormat="1" x14ac:dyDescent="0.25">
      <c r="A310" s="40"/>
      <c r="B310" s="190"/>
      <c r="C310" s="193" t="s">
        <v>706</v>
      </c>
      <c r="D310" s="192">
        <v>4180868110</v>
      </c>
      <c r="E310" s="192">
        <f>'Realisasi Agustus'!H318</f>
        <v>2391708108</v>
      </c>
      <c r="F310" s="192"/>
      <c r="G310" s="192">
        <f t="shared" si="112"/>
        <v>2391708108</v>
      </c>
      <c r="H310" s="24">
        <f t="shared" si="108"/>
        <v>0.57206016671020987</v>
      </c>
      <c r="I310" s="225"/>
      <c r="J310" s="175"/>
    </row>
    <row r="311" spans="1:10" s="176" customFormat="1" x14ac:dyDescent="0.25">
      <c r="A311" s="40"/>
      <c r="B311" s="43">
        <v>3</v>
      </c>
      <c r="C311" s="185" t="s">
        <v>182</v>
      </c>
      <c r="D311" s="191">
        <f>SUM(D312:D312)</f>
        <v>0</v>
      </c>
      <c r="E311" s="192">
        <f>'Realisasi Juli'!G316</f>
        <v>0</v>
      </c>
      <c r="F311" s="191"/>
      <c r="G311" s="192">
        <f t="shared" si="112"/>
        <v>0</v>
      </c>
      <c r="H311" s="252" t="e">
        <f t="shared" si="108"/>
        <v>#DIV/0!</v>
      </c>
      <c r="I311" s="224"/>
      <c r="J311" s="175"/>
    </row>
    <row r="312" spans="1:10" s="176" customFormat="1" x14ac:dyDescent="0.25">
      <c r="A312" s="40"/>
      <c r="B312" s="44"/>
      <c r="C312" s="193" t="s">
        <v>183</v>
      </c>
      <c r="D312" s="192">
        <v>0</v>
      </c>
      <c r="E312" s="192">
        <f>'Realisasi Juli'!G317</f>
        <v>0</v>
      </c>
      <c r="F312" s="192"/>
      <c r="G312" s="192">
        <f t="shared" si="112"/>
        <v>0</v>
      </c>
      <c r="H312" s="252" t="e">
        <f t="shared" si="108"/>
        <v>#DIV/0!</v>
      </c>
      <c r="I312" s="223"/>
      <c r="J312" s="175"/>
    </row>
    <row r="313" spans="1:10" s="176" customFormat="1" x14ac:dyDescent="0.25">
      <c r="A313" s="40"/>
      <c r="B313" s="43">
        <v>4</v>
      </c>
      <c r="C313" s="185" t="s">
        <v>184</v>
      </c>
      <c r="D313" s="191">
        <f>SUM(D314:D314)</f>
        <v>0</v>
      </c>
      <c r="E313" s="192">
        <f>'Realisasi Juli'!G318</f>
        <v>0</v>
      </c>
      <c r="F313" s="191"/>
      <c r="G313" s="192">
        <f t="shared" si="112"/>
        <v>0</v>
      </c>
      <c r="H313" s="252" t="e">
        <f t="shared" si="108"/>
        <v>#DIV/0!</v>
      </c>
      <c r="I313" s="223"/>
      <c r="J313" s="175"/>
    </row>
    <row r="314" spans="1:10" s="176" customFormat="1" x14ac:dyDescent="0.25">
      <c r="A314" s="40"/>
      <c r="B314" s="44"/>
      <c r="C314" s="193" t="s">
        <v>185</v>
      </c>
      <c r="D314" s="192">
        <v>0</v>
      </c>
      <c r="E314" s="192">
        <f>'Realisasi Juli'!G319</f>
        <v>0</v>
      </c>
      <c r="F314" s="192"/>
      <c r="G314" s="192">
        <f t="shared" si="112"/>
        <v>0</v>
      </c>
      <c r="H314" s="252" t="e">
        <f t="shared" si="108"/>
        <v>#DIV/0!</v>
      </c>
      <c r="I314" s="223"/>
      <c r="J314" s="175"/>
    </row>
    <row r="315" spans="1:10" s="176" customFormat="1" x14ac:dyDescent="0.25">
      <c r="A315" s="40"/>
      <c r="B315" s="43">
        <v>3</v>
      </c>
      <c r="C315" s="35" t="s">
        <v>186</v>
      </c>
      <c r="D315" s="191">
        <f>SUM(D316:D316)</f>
        <v>4803838000</v>
      </c>
      <c r="E315" s="191">
        <f t="shared" ref="E315:G315" si="113">SUM(E316:E316)</f>
        <v>1200959500</v>
      </c>
      <c r="F315" s="191">
        <f t="shared" si="113"/>
        <v>0</v>
      </c>
      <c r="G315" s="191">
        <f t="shared" si="113"/>
        <v>1200959500</v>
      </c>
      <c r="H315" s="236">
        <f t="shared" si="108"/>
        <v>0.25</v>
      </c>
      <c r="I315" s="223"/>
      <c r="J315" s="175"/>
    </row>
    <row r="316" spans="1:10" s="176" customFormat="1" x14ac:dyDescent="0.25">
      <c r="A316" s="40"/>
      <c r="B316" s="190" t="s">
        <v>374</v>
      </c>
      <c r="C316" s="193" t="s">
        <v>187</v>
      </c>
      <c r="D316" s="192">
        <v>4803838000</v>
      </c>
      <c r="E316" s="192">
        <f>'Realisasi Agustus'!H324</f>
        <v>1200959500</v>
      </c>
      <c r="F316" s="192"/>
      <c r="G316" s="192">
        <f t="shared" si="112"/>
        <v>1200959500</v>
      </c>
      <c r="H316" s="24">
        <f t="shared" si="108"/>
        <v>0.25</v>
      </c>
      <c r="I316" s="225"/>
      <c r="J316" s="175"/>
    </row>
    <row r="317" spans="1:10" s="176" customFormat="1" x14ac:dyDescent="0.25">
      <c r="A317" s="40"/>
      <c r="B317" s="43">
        <v>4</v>
      </c>
      <c r="C317" s="185" t="s">
        <v>188</v>
      </c>
      <c r="D317" s="191">
        <f>SUM(D318)</f>
        <v>6188582000</v>
      </c>
      <c r="E317" s="191">
        <f t="shared" ref="E317:G317" si="114">SUM(E318)</f>
        <v>1547145500</v>
      </c>
      <c r="F317" s="191">
        <f t="shared" si="114"/>
        <v>2784861900</v>
      </c>
      <c r="G317" s="191">
        <f t="shared" si="114"/>
        <v>4332007400</v>
      </c>
      <c r="H317" s="236">
        <f t="shared" si="108"/>
        <v>0.7</v>
      </c>
      <c r="I317" s="223"/>
      <c r="J317" s="175"/>
    </row>
    <row r="318" spans="1:10" s="176" customFormat="1" x14ac:dyDescent="0.25">
      <c r="A318" s="40"/>
      <c r="B318" s="190" t="s">
        <v>375</v>
      </c>
      <c r="C318" s="193" t="s">
        <v>189</v>
      </c>
      <c r="D318" s="192">
        <v>6188582000</v>
      </c>
      <c r="E318" s="192">
        <f>'Realisasi Agustus'!H326</f>
        <v>1547145500</v>
      </c>
      <c r="F318" s="192">
        <v>2784861900</v>
      </c>
      <c r="G318" s="192">
        <f t="shared" si="112"/>
        <v>4332007400</v>
      </c>
      <c r="H318" s="24">
        <f t="shared" si="108"/>
        <v>0.7</v>
      </c>
      <c r="I318" s="225"/>
      <c r="J318" s="175"/>
    </row>
    <row r="319" spans="1:10" s="176" customFormat="1" hidden="1" x14ac:dyDescent="0.25">
      <c r="A319" s="40"/>
      <c r="B319" s="43">
        <v>5</v>
      </c>
      <c r="C319" s="185" t="s">
        <v>190</v>
      </c>
      <c r="D319" s="191">
        <f>SUM(D320)</f>
        <v>0</v>
      </c>
      <c r="E319" s="191"/>
      <c r="F319" s="191">
        <f>SUM(F320)</f>
        <v>0</v>
      </c>
      <c r="G319" s="192" t="e">
        <f>#REF!+F319</f>
        <v>#REF!</v>
      </c>
      <c r="H319" s="24" t="e">
        <f t="shared" si="108"/>
        <v>#REF!</v>
      </c>
      <c r="I319" s="224"/>
      <c r="J319" s="175"/>
    </row>
    <row r="320" spans="1:10" s="176" customFormat="1" hidden="1" x14ac:dyDescent="0.25">
      <c r="A320" s="40"/>
      <c r="B320" s="44"/>
      <c r="C320" s="193" t="s">
        <v>191</v>
      </c>
      <c r="D320" s="192">
        <v>0</v>
      </c>
      <c r="E320" s="192"/>
      <c r="F320" s="192">
        <v>0</v>
      </c>
      <c r="G320" s="192" t="e">
        <f>#REF!+F320</f>
        <v>#REF!</v>
      </c>
      <c r="H320" s="24" t="e">
        <f t="shared" si="108"/>
        <v>#REF!</v>
      </c>
      <c r="I320" s="223"/>
      <c r="J320" s="175"/>
    </row>
    <row r="321" spans="1:10" s="176" customFormat="1" x14ac:dyDescent="0.25">
      <c r="A321" s="40"/>
      <c r="B321" s="43">
        <v>5</v>
      </c>
      <c r="C321" s="185" t="s">
        <v>192</v>
      </c>
      <c r="D321" s="191">
        <f>SUM(D322:D323)</f>
        <v>0</v>
      </c>
      <c r="E321" s="191">
        <f t="shared" ref="E321:G321" si="115">SUM(E322:E323)</f>
        <v>0</v>
      </c>
      <c r="F321" s="191">
        <f t="shared" si="115"/>
        <v>0</v>
      </c>
      <c r="G321" s="191">
        <f t="shared" si="115"/>
        <v>0</v>
      </c>
      <c r="H321" s="253" t="e">
        <f>G321/D321</f>
        <v>#DIV/0!</v>
      </c>
      <c r="I321" s="223"/>
      <c r="J321" s="175"/>
    </row>
    <row r="322" spans="1:10" s="176" customFormat="1" x14ac:dyDescent="0.25">
      <c r="A322" s="40"/>
      <c r="B322" s="190" t="s">
        <v>539</v>
      </c>
      <c r="C322" s="193" t="s">
        <v>193</v>
      </c>
      <c r="D322" s="192"/>
      <c r="E322" s="192">
        <f>'Realisasi Agustus'!H330</f>
        <v>0</v>
      </c>
      <c r="F322" s="192"/>
      <c r="G322" s="192">
        <f>E322+F322</f>
        <v>0</v>
      </c>
      <c r="H322" s="252" t="e">
        <f>G322/D322</f>
        <v>#DIV/0!</v>
      </c>
      <c r="I322" s="225" t="s">
        <v>470</v>
      </c>
      <c r="J322" s="175"/>
    </row>
    <row r="323" spans="1:10" s="176" customFormat="1" x14ac:dyDescent="0.25">
      <c r="A323" s="40"/>
      <c r="B323" s="190" t="s">
        <v>540</v>
      </c>
      <c r="C323" s="193" t="s">
        <v>194</v>
      </c>
      <c r="D323" s="192"/>
      <c r="E323" s="192">
        <f>'Realisasi Agustus'!H331</f>
        <v>0</v>
      </c>
      <c r="F323" s="192"/>
      <c r="G323" s="192">
        <f>E323+F323</f>
        <v>0</v>
      </c>
      <c r="H323" s="252" t="e">
        <f>G323/D323</f>
        <v>#DIV/0!</v>
      </c>
      <c r="I323" s="225" t="s">
        <v>470</v>
      </c>
      <c r="J323" s="175"/>
    </row>
    <row r="324" spans="1:10" s="176" customFormat="1" x14ac:dyDescent="0.25">
      <c r="A324" s="40"/>
      <c r="B324" s="43">
        <v>6</v>
      </c>
      <c r="C324" s="170" t="s">
        <v>206</v>
      </c>
      <c r="D324" s="191">
        <f>D325</f>
        <v>7340205000</v>
      </c>
      <c r="E324" s="191">
        <f t="shared" ref="E324:G324" si="116">E325</f>
        <v>5138143500</v>
      </c>
      <c r="F324" s="191">
        <f t="shared" si="116"/>
        <v>0</v>
      </c>
      <c r="G324" s="191">
        <f t="shared" si="116"/>
        <v>5138143500</v>
      </c>
      <c r="H324" s="236">
        <f>G324/D324</f>
        <v>0.7</v>
      </c>
      <c r="I324" s="225"/>
      <c r="J324" s="175"/>
    </row>
    <row r="325" spans="1:10" s="176" customFormat="1" x14ac:dyDescent="0.25">
      <c r="A325" s="40"/>
      <c r="B325" s="190"/>
      <c r="C325" s="48" t="s">
        <v>210</v>
      </c>
      <c r="D325" s="192">
        <v>7340205000</v>
      </c>
      <c r="E325" s="192">
        <f>'Realisasi Agustus'!H333</f>
        <v>5138143500</v>
      </c>
      <c r="F325" s="192"/>
      <c r="G325" s="192">
        <f>E325+F325</f>
        <v>5138143500</v>
      </c>
      <c r="H325" s="24">
        <f>G325/D325</f>
        <v>0.7</v>
      </c>
      <c r="I325" s="225"/>
      <c r="J325" s="175"/>
    </row>
    <row r="326" spans="1:10" s="176" customFormat="1" x14ac:dyDescent="0.25">
      <c r="A326" s="40"/>
      <c r="B326" s="178"/>
      <c r="C326" s="183"/>
      <c r="D326" s="192"/>
      <c r="E326" s="192"/>
      <c r="F326" s="192"/>
      <c r="G326" s="191"/>
      <c r="H326" s="236"/>
      <c r="I326" s="224"/>
      <c r="J326" s="175"/>
    </row>
    <row r="327" spans="1:10" s="176" customFormat="1" ht="37.5" hidden="1" customHeight="1" x14ac:dyDescent="0.25">
      <c r="A327" s="293"/>
      <c r="B327" s="262" t="s">
        <v>414</v>
      </c>
      <c r="C327" s="45" t="s">
        <v>195</v>
      </c>
      <c r="D327" s="42">
        <f>SUM(D328+D337+D339+D341+D343+D345+D347)</f>
        <v>0</v>
      </c>
      <c r="E327" s="42">
        <f t="shared" ref="E327:G327" si="117">SUM(E328+E337+E339+E341+E343+E345+E347)</f>
        <v>0</v>
      </c>
      <c r="F327" s="42">
        <f t="shared" si="117"/>
        <v>0</v>
      </c>
      <c r="G327" s="42">
        <f t="shared" si="117"/>
        <v>0</v>
      </c>
      <c r="H327" s="237" t="e">
        <f>G327/D327</f>
        <v>#DIV/0!</v>
      </c>
      <c r="I327" s="225" t="s">
        <v>469</v>
      </c>
      <c r="J327" s="175"/>
    </row>
    <row r="328" spans="1:10" s="176" customFormat="1" hidden="1" x14ac:dyDescent="0.25">
      <c r="A328" s="40"/>
      <c r="B328" s="43">
        <v>1</v>
      </c>
      <c r="C328" s="185" t="s">
        <v>177</v>
      </c>
      <c r="D328" s="191">
        <f>SUM(D330:D335)</f>
        <v>0</v>
      </c>
      <c r="E328" s="191">
        <f t="shared" ref="E328:G328" si="118">SUM(E330:E335)</f>
        <v>0</v>
      </c>
      <c r="F328" s="191">
        <f t="shared" si="118"/>
        <v>0</v>
      </c>
      <c r="G328" s="191">
        <f t="shared" si="118"/>
        <v>0</v>
      </c>
      <c r="H328" s="236" t="e">
        <f>G328/D328</f>
        <v>#DIV/0!</v>
      </c>
      <c r="I328" s="225"/>
      <c r="J328" s="175"/>
    </row>
    <row r="329" spans="1:10" s="176" customFormat="1" hidden="1" x14ac:dyDescent="0.25">
      <c r="A329" s="40"/>
      <c r="B329" s="44"/>
      <c r="C329" s="193" t="s">
        <v>196</v>
      </c>
      <c r="D329" s="192">
        <v>0</v>
      </c>
      <c r="E329" s="192"/>
      <c r="F329" s="192">
        <v>0</v>
      </c>
      <c r="G329" s="191" t="e">
        <f>#REF!+F329</f>
        <v>#REF!</v>
      </c>
      <c r="H329" s="236" t="e">
        <f t="shared" ref="H329:H334" si="119">G329/D329</f>
        <v>#REF!</v>
      </c>
      <c r="I329" s="223"/>
      <c r="J329" s="175"/>
    </row>
    <row r="330" spans="1:10" s="176" customFormat="1" hidden="1" x14ac:dyDescent="0.25">
      <c r="A330" s="40"/>
      <c r="B330" s="190" t="s">
        <v>388</v>
      </c>
      <c r="C330" s="193" t="s">
        <v>197</v>
      </c>
      <c r="D330" s="192">
        <v>0</v>
      </c>
      <c r="E330" s="192">
        <f>'Realisasi Agustus'!H338</f>
        <v>0</v>
      </c>
      <c r="F330" s="192"/>
      <c r="G330" s="192">
        <f>E330+F330</f>
        <v>0</v>
      </c>
      <c r="H330" s="24" t="e">
        <f t="shared" si="119"/>
        <v>#DIV/0!</v>
      </c>
      <c r="I330" s="225"/>
      <c r="J330" s="175"/>
    </row>
    <row r="331" spans="1:10" s="176" customFormat="1" ht="18" hidden="1" customHeight="1" x14ac:dyDescent="0.25">
      <c r="A331" s="40"/>
      <c r="B331" s="44"/>
      <c r="C331" s="193" t="s">
        <v>198</v>
      </c>
      <c r="D331" s="192"/>
      <c r="E331" s="192">
        <f>'Realisasi Agustus'!H339</f>
        <v>0</v>
      </c>
      <c r="F331" s="192"/>
      <c r="G331" s="192">
        <f t="shared" ref="G331:G335" si="120">E331+F331</f>
        <v>0</v>
      </c>
      <c r="H331" s="24" t="e">
        <f t="shared" si="119"/>
        <v>#DIV/0!</v>
      </c>
      <c r="I331" s="223"/>
      <c r="J331" s="175"/>
    </row>
    <row r="332" spans="1:10" s="176" customFormat="1" hidden="1" x14ac:dyDescent="0.25">
      <c r="A332" s="40"/>
      <c r="B332" s="190" t="s">
        <v>389</v>
      </c>
      <c r="C332" s="193" t="s">
        <v>199</v>
      </c>
      <c r="D332" s="192">
        <v>0</v>
      </c>
      <c r="E332" s="192">
        <f>'Realisasi Agustus'!H340</f>
        <v>0</v>
      </c>
      <c r="F332" s="192"/>
      <c r="G332" s="192">
        <f t="shared" si="120"/>
        <v>0</v>
      </c>
      <c r="H332" s="24" t="e">
        <f t="shared" si="119"/>
        <v>#DIV/0!</v>
      </c>
      <c r="I332" s="225"/>
      <c r="J332" s="175"/>
    </row>
    <row r="333" spans="1:10" s="176" customFormat="1" hidden="1" x14ac:dyDescent="0.25">
      <c r="A333" s="40"/>
      <c r="B333" s="44"/>
      <c r="C333" s="193" t="s">
        <v>200</v>
      </c>
      <c r="D333" s="192">
        <v>0</v>
      </c>
      <c r="E333" s="192">
        <f>'Realisasi Agustus'!H341</f>
        <v>0</v>
      </c>
      <c r="F333" s="192"/>
      <c r="G333" s="192">
        <f t="shared" si="120"/>
        <v>0</v>
      </c>
      <c r="H333" s="24" t="e">
        <f t="shared" si="119"/>
        <v>#DIV/0!</v>
      </c>
      <c r="I333" s="223"/>
      <c r="J333" s="175"/>
    </row>
    <row r="334" spans="1:10" s="176" customFormat="1" hidden="1" x14ac:dyDescent="0.25">
      <c r="A334" s="40"/>
      <c r="B334" s="44"/>
      <c r="C334" s="193" t="s">
        <v>201</v>
      </c>
      <c r="D334" s="192"/>
      <c r="E334" s="192">
        <f>'Realisasi Agustus'!H342</f>
        <v>0</v>
      </c>
      <c r="F334" s="192"/>
      <c r="G334" s="192">
        <f t="shared" si="120"/>
        <v>0</v>
      </c>
      <c r="H334" s="24" t="e">
        <f t="shared" si="119"/>
        <v>#DIV/0!</v>
      </c>
      <c r="I334" s="225"/>
      <c r="J334" s="175"/>
    </row>
    <row r="335" spans="1:10" s="176" customFormat="1" hidden="1" x14ac:dyDescent="0.25">
      <c r="A335" s="40"/>
      <c r="B335" s="190" t="s">
        <v>541</v>
      </c>
      <c r="C335" s="193" t="s">
        <v>390</v>
      </c>
      <c r="D335" s="192"/>
      <c r="E335" s="192">
        <f>'Realisasi Agustus'!H343</f>
        <v>0</v>
      </c>
      <c r="F335" s="192"/>
      <c r="G335" s="192">
        <f t="shared" si="120"/>
        <v>0</v>
      </c>
      <c r="H335" s="24" t="e">
        <f>G335/D335</f>
        <v>#DIV/0!</v>
      </c>
      <c r="I335" s="225" t="s">
        <v>470</v>
      </c>
      <c r="J335" s="175"/>
    </row>
    <row r="336" spans="1:10" s="176" customFormat="1" hidden="1" x14ac:dyDescent="0.25">
      <c r="A336" s="40"/>
      <c r="B336" s="44"/>
      <c r="C336" s="183"/>
      <c r="D336" s="192"/>
      <c r="E336" s="192"/>
      <c r="F336" s="192"/>
      <c r="G336" s="191"/>
      <c r="H336" s="24"/>
      <c r="I336" s="223"/>
      <c r="J336" s="175"/>
    </row>
    <row r="337" spans="1:10" s="176" customFormat="1" hidden="1" x14ac:dyDescent="0.25">
      <c r="A337" s="40"/>
      <c r="B337" s="43">
        <v>2</v>
      </c>
      <c r="C337" s="185" t="s">
        <v>202</v>
      </c>
      <c r="D337" s="191">
        <f>SUM(D338:D338)</f>
        <v>0</v>
      </c>
      <c r="E337" s="191"/>
      <c r="F337" s="191">
        <f t="shared" ref="F337:G337" si="121">SUM(F338:F338)</f>
        <v>0</v>
      </c>
      <c r="G337" s="191">
        <f t="shared" si="121"/>
        <v>0</v>
      </c>
      <c r="H337" s="236" t="e">
        <f t="shared" ref="H337:H348" si="122">G337/D337</f>
        <v>#DIV/0!</v>
      </c>
      <c r="I337" s="224"/>
      <c r="J337" s="175"/>
    </row>
    <row r="338" spans="1:10" s="176" customFormat="1" hidden="1" x14ac:dyDescent="0.25">
      <c r="A338" s="40"/>
      <c r="B338" s="190" t="s">
        <v>542</v>
      </c>
      <c r="C338" s="193" t="s">
        <v>391</v>
      </c>
      <c r="D338" s="192"/>
      <c r="E338" s="192"/>
      <c r="F338" s="192"/>
      <c r="G338" s="192">
        <f>E338+F338</f>
        <v>0</v>
      </c>
      <c r="H338" s="24" t="e">
        <f t="shared" si="122"/>
        <v>#DIV/0!</v>
      </c>
      <c r="I338" s="225" t="s">
        <v>470</v>
      </c>
      <c r="J338" s="175"/>
    </row>
    <row r="339" spans="1:10" s="176" customFormat="1" hidden="1" x14ac:dyDescent="0.25">
      <c r="A339" s="40"/>
      <c r="B339" s="43">
        <v>3</v>
      </c>
      <c r="C339" s="185" t="s">
        <v>203</v>
      </c>
      <c r="D339" s="191">
        <f>SUM(D340:D340)</f>
        <v>0</v>
      </c>
      <c r="E339" s="191"/>
      <c r="F339" s="191">
        <f t="shared" ref="F339:G339" si="123">SUM(F340:F340)</f>
        <v>0</v>
      </c>
      <c r="G339" s="191">
        <f t="shared" si="123"/>
        <v>0</v>
      </c>
      <c r="H339" s="236" t="e">
        <f t="shared" si="122"/>
        <v>#DIV/0!</v>
      </c>
      <c r="I339" s="224"/>
      <c r="J339" s="175"/>
    </row>
    <row r="340" spans="1:10" s="176" customFormat="1" hidden="1" x14ac:dyDescent="0.25">
      <c r="A340" s="40"/>
      <c r="B340" s="190" t="s">
        <v>543</v>
      </c>
      <c r="C340" s="193" t="s">
        <v>392</v>
      </c>
      <c r="D340" s="192"/>
      <c r="E340" s="192"/>
      <c r="F340" s="192"/>
      <c r="G340" s="192">
        <f>E340+F340</f>
        <v>0</v>
      </c>
      <c r="H340" s="24" t="e">
        <f t="shared" si="122"/>
        <v>#DIV/0!</v>
      </c>
      <c r="I340" s="225" t="s">
        <v>469</v>
      </c>
      <c r="J340" s="175"/>
    </row>
    <row r="341" spans="1:10" s="176" customFormat="1" hidden="1" x14ac:dyDescent="0.25">
      <c r="A341" s="40"/>
      <c r="B341" s="43">
        <v>4</v>
      </c>
      <c r="C341" s="185" t="s">
        <v>192</v>
      </c>
      <c r="D341" s="191">
        <f>SUM(D342)</f>
        <v>0</v>
      </c>
      <c r="E341" s="191"/>
      <c r="F341" s="191">
        <f t="shared" ref="F341:G341" si="124">SUM(F342)</f>
        <v>0</v>
      </c>
      <c r="G341" s="191">
        <f t="shared" si="124"/>
        <v>0</v>
      </c>
      <c r="H341" s="236" t="e">
        <f t="shared" si="122"/>
        <v>#DIV/0!</v>
      </c>
      <c r="I341" s="224"/>
      <c r="J341" s="175"/>
    </row>
    <row r="342" spans="1:10" s="176" customFormat="1" hidden="1" x14ac:dyDescent="0.25">
      <c r="A342" s="40"/>
      <c r="B342" s="190" t="s">
        <v>544</v>
      </c>
      <c r="C342" s="47" t="s">
        <v>393</v>
      </c>
      <c r="D342" s="192"/>
      <c r="E342" s="192"/>
      <c r="F342" s="192"/>
      <c r="G342" s="192">
        <f>E342+F342</f>
        <v>0</v>
      </c>
      <c r="H342" s="24" t="e">
        <f t="shared" si="122"/>
        <v>#DIV/0!</v>
      </c>
      <c r="I342" s="225" t="s">
        <v>469</v>
      </c>
      <c r="J342" s="175"/>
    </row>
    <row r="343" spans="1:10" s="176" customFormat="1" hidden="1" x14ac:dyDescent="0.25">
      <c r="A343" s="40"/>
      <c r="B343" s="43">
        <v>5</v>
      </c>
      <c r="C343" s="185" t="s">
        <v>204</v>
      </c>
      <c r="D343" s="191">
        <f>SUM(D344:D344)</f>
        <v>0</v>
      </c>
      <c r="E343" s="191"/>
      <c r="F343" s="191">
        <f t="shared" ref="F343:G343" si="125">SUM(F344:F344)</f>
        <v>0</v>
      </c>
      <c r="G343" s="191">
        <f t="shared" si="125"/>
        <v>0</v>
      </c>
      <c r="H343" s="236" t="e">
        <f t="shared" si="122"/>
        <v>#DIV/0!</v>
      </c>
      <c r="I343" s="223"/>
      <c r="J343" s="175"/>
    </row>
    <row r="344" spans="1:10" s="176" customFormat="1" hidden="1" x14ac:dyDescent="0.25">
      <c r="A344" s="40"/>
      <c r="B344" s="190" t="s">
        <v>545</v>
      </c>
      <c r="C344" s="47" t="s">
        <v>394</v>
      </c>
      <c r="D344" s="192"/>
      <c r="E344" s="192"/>
      <c r="F344" s="192"/>
      <c r="G344" s="192">
        <f>E344+F344</f>
        <v>0</v>
      </c>
      <c r="H344" s="24" t="e">
        <f t="shared" si="122"/>
        <v>#DIV/0!</v>
      </c>
      <c r="I344" s="225"/>
      <c r="J344" s="175"/>
    </row>
    <row r="345" spans="1:10" s="176" customFormat="1" hidden="1" x14ac:dyDescent="0.25">
      <c r="A345" s="40"/>
      <c r="B345" s="43">
        <v>6</v>
      </c>
      <c r="C345" s="185" t="s">
        <v>205</v>
      </c>
      <c r="D345" s="191">
        <f>SUM(D346:D346)</f>
        <v>0</v>
      </c>
      <c r="E345" s="191">
        <f t="shared" ref="E345:G345" si="126">SUM(E346:E346)</f>
        <v>0</v>
      </c>
      <c r="F345" s="191">
        <f t="shared" si="126"/>
        <v>0</v>
      </c>
      <c r="G345" s="191">
        <f t="shared" si="126"/>
        <v>0</v>
      </c>
      <c r="H345" s="253" t="e">
        <f t="shared" si="122"/>
        <v>#DIV/0!</v>
      </c>
      <c r="I345" s="223"/>
      <c r="J345" s="175"/>
    </row>
    <row r="346" spans="1:10" s="176" customFormat="1" hidden="1" x14ac:dyDescent="0.25">
      <c r="A346" s="40"/>
      <c r="B346" s="190" t="s">
        <v>376</v>
      </c>
      <c r="C346" s="48" t="s">
        <v>395</v>
      </c>
      <c r="D346" s="192">
        <v>0</v>
      </c>
      <c r="E346" s="192"/>
      <c r="F346" s="192"/>
      <c r="G346" s="192">
        <f>E346+F346</f>
        <v>0</v>
      </c>
      <c r="H346" s="252" t="e">
        <f t="shared" si="122"/>
        <v>#DIV/0!</v>
      </c>
      <c r="I346" s="225"/>
      <c r="J346" s="175"/>
    </row>
    <row r="347" spans="1:10" s="176" customFormat="1" hidden="1" x14ac:dyDescent="0.25">
      <c r="A347" s="40"/>
      <c r="B347" s="46">
        <v>7</v>
      </c>
      <c r="C347" s="170" t="s">
        <v>206</v>
      </c>
      <c r="D347" s="191">
        <f>D348</f>
        <v>0</v>
      </c>
      <c r="E347" s="191"/>
      <c r="F347" s="191">
        <f t="shared" ref="F347:G347" si="127">F348</f>
        <v>0</v>
      </c>
      <c r="G347" s="191">
        <f t="shared" si="127"/>
        <v>0</v>
      </c>
      <c r="H347" s="236" t="e">
        <f t="shared" si="122"/>
        <v>#DIV/0!</v>
      </c>
      <c r="I347" s="225"/>
      <c r="J347" s="175"/>
    </row>
    <row r="348" spans="1:10" s="176" customFormat="1" hidden="1" x14ac:dyDescent="0.25">
      <c r="A348" s="40"/>
      <c r="B348" s="190" t="s">
        <v>546</v>
      </c>
      <c r="C348" s="48" t="s">
        <v>207</v>
      </c>
      <c r="D348" s="192"/>
      <c r="E348" s="192"/>
      <c r="F348" s="192"/>
      <c r="G348" s="192">
        <f>E348+F348</f>
        <v>0</v>
      </c>
      <c r="H348" s="24" t="e">
        <f t="shared" si="122"/>
        <v>#DIV/0!</v>
      </c>
      <c r="I348" s="225" t="s">
        <v>469</v>
      </c>
      <c r="J348" s="175"/>
    </row>
    <row r="349" spans="1:10" s="176" customFormat="1" hidden="1" x14ac:dyDescent="0.25">
      <c r="A349" s="40"/>
      <c r="B349" s="46"/>
      <c r="C349" s="49"/>
      <c r="D349" s="50"/>
      <c r="E349" s="50"/>
      <c r="F349" s="50"/>
      <c r="G349" s="191"/>
      <c r="H349" s="236"/>
      <c r="I349" s="223"/>
      <c r="J349" s="175"/>
    </row>
    <row r="350" spans="1:10" s="176" customFormat="1" ht="36.75" hidden="1" customHeight="1" x14ac:dyDescent="0.25">
      <c r="A350" s="293"/>
      <c r="B350" s="262" t="s">
        <v>415</v>
      </c>
      <c r="C350" s="41" t="s">
        <v>208</v>
      </c>
      <c r="D350" s="42">
        <f>SUM(D351+D353+D355+D358+D360+D362)</f>
        <v>0</v>
      </c>
      <c r="E350" s="42"/>
      <c r="F350" s="42">
        <f>SUM(F351+F353+F355+F358+F360+F362)</f>
        <v>0</v>
      </c>
      <c r="G350" s="42">
        <f t="shared" ref="G350:G363" si="128">F350-D350</f>
        <v>0</v>
      </c>
      <c r="H350" s="237"/>
      <c r="I350" s="226"/>
      <c r="J350" s="175"/>
    </row>
    <row r="351" spans="1:10" s="176" customFormat="1" hidden="1" x14ac:dyDescent="0.25">
      <c r="A351" s="40"/>
      <c r="B351" s="51">
        <v>1</v>
      </c>
      <c r="C351" s="35" t="s">
        <v>209</v>
      </c>
      <c r="D351" s="191">
        <f>SUM(D352:D352)</f>
        <v>0</v>
      </c>
      <c r="E351" s="191"/>
      <c r="F351" s="191">
        <f>SUM(F352:F352)</f>
        <v>0</v>
      </c>
      <c r="G351" s="191">
        <f t="shared" si="128"/>
        <v>0</v>
      </c>
      <c r="H351" s="236"/>
      <c r="I351" s="224"/>
      <c r="J351" s="175"/>
    </row>
    <row r="352" spans="1:10" s="176" customFormat="1" hidden="1" x14ac:dyDescent="0.25">
      <c r="A352" s="40"/>
      <c r="B352" s="190" t="s">
        <v>380</v>
      </c>
      <c r="C352" s="193" t="s">
        <v>210</v>
      </c>
      <c r="D352" s="192">
        <v>0</v>
      </c>
      <c r="E352" s="192"/>
      <c r="F352" s="192">
        <v>0</v>
      </c>
      <c r="G352" s="192">
        <f t="shared" si="128"/>
        <v>0</v>
      </c>
      <c r="H352" s="24"/>
      <c r="I352" s="225"/>
      <c r="J352" s="175"/>
    </row>
    <row r="353" spans="1:10" s="176" customFormat="1" hidden="1" x14ac:dyDescent="0.25">
      <c r="A353" s="40"/>
      <c r="B353" s="51">
        <v>2</v>
      </c>
      <c r="C353" s="35" t="s">
        <v>211</v>
      </c>
      <c r="D353" s="191">
        <f>SUM(D354)</f>
        <v>0</v>
      </c>
      <c r="E353" s="191"/>
      <c r="F353" s="191">
        <f>SUM(F354)</f>
        <v>0</v>
      </c>
      <c r="G353" s="191">
        <f t="shared" si="128"/>
        <v>0</v>
      </c>
      <c r="H353" s="236"/>
      <c r="I353" s="224"/>
      <c r="J353" s="175"/>
    </row>
    <row r="354" spans="1:10" s="176" customFormat="1" hidden="1" x14ac:dyDescent="0.25">
      <c r="A354" s="40"/>
      <c r="B354" s="190" t="s">
        <v>383</v>
      </c>
      <c r="C354" s="193" t="s">
        <v>194</v>
      </c>
      <c r="D354" s="192">
        <v>0</v>
      </c>
      <c r="E354" s="192"/>
      <c r="F354" s="192">
        <v>0</v>
      </c>
      <c r="G354" s="192">
        <f t="shared" si="128"/>
        <v>0</v>
      </c>
      <c r="H354" s="24"/>
      <c r="I354" s="225"/>
      <c r="J354" s="175"/>
    </row>
    <row r="355" spans="1:10" s="176" customFormat="1" hidden="1" x14ac:dyDescent="0.25">
      <c r="A355" s="40"/>
      <c r="B355" s="51">
        <v>3</v>
      </c>
      <c r="C355" s="185" t="s">
        <v>172</v>
      </c>
      <c r="D355" s="191">
        <f>SUM(D356:D357)</f>
        <v>0</v>
      </c>
      <c r="E355" s="191"/>
      <c r="F355" s="191">
        <f>SUM(F356:F357)</f>
        <v>0</v>
      </c>
      <c r="G355" s="191">
        <f t="shared" si="128"/>
        <v>0</v>
      </c>
      <c r="H355" s="236"/>
      <c r="I355" s="224"/>
      <c r="J355" s="175"/>
    </row>
    <row r="356" spans="1:10" s="176" customFormat="1" hidden="1" x14ac:dyDescent="0.25">
      <c r="A356" s="40"/>
      <c r="B356" s="190" t="s">
        <v>377</v>
      </c>
      <c r="C356" s="193" t="s">
        <v>174</v>
      </c>
      <c r="D356" s="192"/>
      <c r="E356" s="192"/>
      <c r="F356" s="192"/>
      <c r="G356" s="192">
        <f t="shared" si="128"/>
        <v>0</v>
      </c>
      <c r="H356" s="24"/>
      <c r="I356" s="225"/>
      <c r="J356" s="175"/>
    </row>
    <row r="357" spans="1:10" s="176" customFormat="1" hidden="1" x14ac:dyDescent="0.25">
      <c r="A357" s="40"/>
      <c r="B357" s="190" t="s">
        <v>378</v>
      </c>
      <c r="C357" s="193" t="s">
        <v>175</v>
      </c>
      <c r="D357" s="192"/>
      <c r="E357" s="192"/>
      <c r="F357" s="192"/>
      <c r="G357" s="192">
        <f t="shared" si="128"/>
        <v>0</v>
      </c>
      <c r="H357" s="24"/>
      <c r="I357" s="225"/>
      <c r="J357" s="175"/>
    </row>
    <row r="358" spans="1:10" s="176" customFormat="1" hidden="1" x14ac:dyDescent="0.25">
      <c r="A358" s="40"/>
      <c r="B358" s="51">
        <v>4</v>
      </c>
      <c r="C358" s="35" t="s">
        <v>212</v>
      </c>
      <c r="D358" s="191">
        <f>D359</f>
        <v>0</v>
      </c>
      <c r="E358" s="191"/>
      <c r="F358" s="191">
        <f>F359</f>
        <v>0</v>
      </c>
      <c r="G358" s="191">
        <f t="shared" si="128"/>
        <v>0</v>
      </c>
      <c r="H358" s="236"/>
      <c r="I358" s="225"/>
      <c r="J358" s="175"/>
    </row>
    <row r="359" spans="1:10" s="176" customFormat="1" hidden="1" x14ac:dyDescent="0.25">
      <c r="A359" s="40"/>
      <c r="B359" s="190" t="s">
        <v>381</v>
      </c>
      <c r="C359" s="193" t="s">
        <v>189</v>
      </c>
      <c r="D359" s="191">
        <v>0</v>
      </c>
      <c r="E359" s="191"/>
      <c r="F359" s="191">
        <v>0</v>
      </c>
      <c r="G359" s="192">
        <f t="shared" si="128"/>
        <v>0</v>
      </c>
      <c r="H359" s="236"/>
      <c r="I359" s="225"/>
      <c r="J359" s="175"/>
    </row>
    <row r="360" spans="1:10" s="176" customFormat="1" hidden="1" x14ac:dyDescent="0.25">
      <c r="A360" s="40"/>
      <c r="B360" s="51">
        <v>5</v>
      </c>
      <c r="C360" s="35" t="s">
        <v>213</v>
      </c>
      <c r="D360" s="191">
        <f>SUM(D361:D361)</f>
        <v>0</v>
      </c>
      <c r="E360" s="191"/>
      <c r="F360" s="191">
        <f>SUM(F361:F361)</f>
        <v>0</v>
      </c>
      <c r="G360" s="191">
        <f t="shared" si="128"/>
        <v>0</v>
      </c>
      <c r="H360" s="236"/>
      <c r="I360" s="224"/>
      <c r="J360" s="175"/>
    </row>
    <row r="361" spans="1:10" s="176" customFormat="1" hidden="1" x14ac:dyDescent="0.25">
      <c r="A361" s="40"/>
      <c r="B361" s="190" t="s">
        <v>382</v>
      </c>
      <c r="C361" s="193" t="s">
        <v>187</v>
      </c>
      <c r="D361" s="192">
        <v>0</v>
      </c>
      <c r="E361" s="192"/>
      <c r="F361" s="192">
        <v>0</v>
      </c>
      <c r="G361" s="192">
        <f t="shared" si="128"/>
        <v>0</v>
      </c>
      <c r="H361" s="24"/>
      <c r="I361" s="225"/>
      <c r="J361" s="175"/>
    </row>
    <row r="362" spans="1:10" s="176" customFormat="1" hidden="1" x14ac:dyDescent="0.25">
      <c r="A362" s="40"/>
      <c r="B362" s="51">
        <v>6</v>
      </c>
      <c r="C362" s="35" t="s">
        <v>214</v>
      </c>
      <c r="D362" s="191">
        <f>SUM(D363:D363)</f>
        <v>0</v>
      </c>
      <c r="E362" s="191"/>
      <c r="F362" s="191">
        <f>SUM(F363:F363)</f>
        <v>0</v>
      </c>
      <c r="G362" s="191">
        <f t="shared" si="128"/>
        <v>0</v>
      </c>
      <c r="H362" s="236"/>
      <c r="I362" s="224"/>
      <c r="J362" s="175"/>
    </row>
    <row r="363" spans="1:10" s="176" customFormat="1" hidden="1" x14ac:dyDescent="0.25">
      <c r="A363" s="40"/>
      <c r="B363" s="190" t="s">
        <v>379</v>
      </c>
      <c r="C363" s="193" t="s">
        <v>215</v>
      </c>
      <c r="D363" s="192"/>
      <c r="E363" s="192"/>
      <c r="F363" s="192"/>
      <c r="G363" s="192">
        <f t="shared" si="128"/>
        <v>0</v>
      </c>
      <c r="H363" s="24"/>
      <c r="I363" s="225"/>
      <c r="J363" s="175"/>
    </row>
    <row r="364" spans="1:10" s="176" customFormat="1" x14ac:dyDescent="0.25">
      <c r="A364" s="40"/>
      <c r="B364" s="178"/>
      <c r="C364" s="183"/>
      <c r="D364" s="192"/>
      <c r="E364" s="192"/>
      <c r="F364" s="192"/>
      <c r="G364" s="191"/>
      <c r="H364" s="236"/>
      <c r="I364" s="224"/>
      <c r="J364" s="175"/>
    </row>
    <row r="365" spans="1:10" s="176" customFormat="1" ht="25.5" customHeight="1" x14ac:dyDescent="0.25">
      <c r="A365" s="138" t="s">
        <v>235</v>
      </c>
      <c r="B365" s="139" t="s">
        <v>384</v>
      </c>
      <c r="C365" s="140" t="s">
        <v>385</v>
      </c>
      <c r="D365" s="141">
        <f>SUM(D367+D369+M372+D372+D375+D378+D381+D384+D392+D395+D398+D401+D404+D407)</f>
        <v>119754141780</v>
      </c>
      <c r="E365" s="141">
        <f t="shared" ref="E365:G365" si="129">SUM(E367+E369+N372+E372+E375+E378+E381+E384+E392+E395+E398+E401+E404+E407)</f>
        <v>33587786067</v>
      </c>
      <c r="F365" s="141">
        <f t="shared" si="129"/>
        <v>0</v>
      </c>
      <c r="G365" s="141">
        <f t="shared" si="129"/>
        <v>33587786067</v>
      </c>
      <c r="H365" s="240">
        <f>G365/D365</f>
        <v>0.28047285519948051</v>
      </c>
      <c r="I365" s="225" t="s">
        <v>216</v>
      </c>
      <c r="J365" s="175"/>
    </row>
    <row r="366" spans="1:10" s="176" customFormat="1" ht="21" customHeight="1" x14ac:dyDescent="0.25">
      <c r="A366" s="40"/>
      <c r="B366" s="167" t="s">
        <v>19</v>
      </c>
      <c r="C366" s="185" t="s">
        <v>635</v>
      </c>
      <c r="D366" s="191">
        <f>D367</f>
        <v>50738030000</v>
      </c>
      <c r="E366" s="191">
        <f>E367</f>
        <v>0</v>
      </c>
      <c r="F366" s="191">
        <f t="shared" ref="F366:G366" si="130">F367</f>
        <v>0</v>
      </c>
      <c r="G366" s="191">
        <f t="shared" si="130"/>
        <v>0</v>
      </c>
      <c r="H366" s="236">
        <f>G366/D366</f>
        <v>0</v>
      </c>
      <c r="I366" s="225" t="s">
        <v>218</v>
      </c>
      <c r="J366" s="175"/>
    </row>
    <row r="367" spans="1:10" s="176" customFormat="1" ht="21" customHeight="1" x14ac:dyDescent="0.25">
      <c r="A367" s="40"/>
      <c r="B367" s="190" t="s">
        <v>634</v>
      </c>
      <c r="C367" s="183" t="s">
        <v>636</v>
      </c>
      <c r="D367" s="192">
        <v>50738030000</v>
      </c>
      <c r="E367" s="192">
        <f>'Realisasi Agustus'!H375</f>
        <v>0</v>
      </c>
      <c r="F367" s="192"/>
      <c r="G367" s="192">
        <f>E367+F367</f>
        <v>0</v>
      </c>
      <c r="H367" s="24">
        <f>G367/D367</f>
        <v>0</v>
      </c>
      <c r="I367" s="225"/>
      <c r="J367" s="175"/>
    </row>
    <row r="368" spans="1:10" s="176" customFormat="1" ht="25.5" customHeight="1" x14ac:dyDescent="0.25">
      <c r="A368" s="169"/>
      <c r="B368" s="189"/>
      <c r="C368" s="185"/>
      <c r="D368" s="191"/>
      <c r="E368" s="192">
        <f>'Realisasi Agustus'!H376</f>
        <v>0</v>
      </c>
      <c r="F368" s="191"/>
      <c r="G368" s="191"/>
      <c r="H368" s="236"/>
      <c r="I368" s="225"/>
      <c r="J368" s="175"/>
    </row>
    <row r="369" spans="1:10" s="176" customFormat="1" ht="21" customHeight="1" x14ac:dyDescent="0.25">
      <c r="A369" s="40"/>
      <c r="B369" s="167" t="s">
        <v>39</v>
      </c>
      <c r="C369" s="185" t="s">
        <v>638</v>
      </c>
      <c r="D369" s="191">
        <f>D370</f>
        <v>1125000000</v>
      </c>
      <c r="E369" s="191">
        <f t="shared" ref="E369:G369" si="131">E370</f>
        <v>0</v>
      </c>
      <c r="F369" s="191">
        <f t="shared" si="131"/>
        <v>0</v>
      </c>
      <c r="G369" s="191">
        <f t="shared" si="131"/>
        <v>0</v>
      </c>
      <c r="H369" s="236">
        <f>G369/D369</f>
        <v>0</v>
      </c>
      <c r="I369" s="225" t="s">
        <v>218</v>
      </c>
      <c r="J369" s="175"/>
    </row>
    <row r="370" spans="1:10" s="176" customFormat="1" ht="21" customHeight="1" x14ac:dyDescent="0.25">
      <c r="A370" s="40"/>
      <c r="B370" s="190" t="s">
        <v>637</v>
      </c>
      <c r="C370" s="183" t="s">
        <v>639</v>
      </c>
      <c r="D370" s="192">
        <v>1125000000</v>
      </c>
      <c r="E370" s="192">
        <f>'Realisasi Agustus'!H378</f>
        <v>0</v>
      </c>
      <c r="F370" s="192"/>
      <c r="G370" s="192">
        <f>E370+F370</f>
        <v>0</v>
      </c>
      <c r="H370" s="24">
        <f>G370/D370</f>
        <v>0</v>
      </c>
      <c r="I370" s="225"/>
      <c r="J370" s="175"/>
    </row>
    <row r="371" spans="1:10" s="176" customFormat="1" ht="21" customHeight="1" x14ac:dyDescent="0.25">
      <c r="A371" s="40"/>
      <c r="B371" s="190"/>
      <c r="C371" s="183"/>
      <c r="D371" s="192"/>
      <c r="E371" s="192">
        <f>'Realisasi Agustus'!H379</f>
        <v>0</v>
      </c>
      <c r="F371" s="192"/>
      <c r="G371" s="192"/>
      <c r="H371" s="24"/>
      <c r="I371" s="225"/>
      <c r="J371" s="175"/>
    </row>
    <row r="372" spans="1:10" s="176" customFormat="1" ht="21" customHeight="1" x14ac:dyDescent="0.25">
      <c r="A372" s="40"/>
      <c r="B372" s="167" t="s">
        <v>19</v>
      </c>
      <c r="C372" s="185" t="s">
        <v>217</v>
      </c>
      <c r="D372" s="191">
        <f>D373</f>
        <v>2661700000</v>
      </c>
      <c r="E372" s="191">
        <f t="shared" ref="E372:G372" si="132">E373</f>
        <v>0</v>
      </c>
      <c r="F372" s="191">
        <f t="shared" si="132"/>
        <v>0</v>
      </c>
      <c r="G372" s="191">
        <f t="shared" si="132"/>
        <v>0</v>
      </c>
      <c r="H372" s="236">
        <f>G372/D372</f>
        <v>0</v>
      </c>
      <c r="I372" s="225" t="s">
        <v>218</v>
      </c>
      <c r="J372" s="175"/>
    </row>
    <row r="373" spans="1:10" s="176" customFormat="1" ht="21" customHeight="1" x14ac:dyDescent="0.25">
      <c r="A373" s="40"/>
      <c r="B373" s="190" t="s">
        <v>547</v>
      </c>
      <c r="C373" s="183" t="s">
        <v>217</v>
      </c>
      <c r="D373" s="192">
        <v>2661700000</v>
      </c>
      <c r="E373" s="192">
        <f>'Realisasi Agustus'!H381</f>
        <v>0</v>
      </c>
      <c r="F373" s="192"/>
      <c r="G373" s="192">
        <f>E373+F373</f>
        <v>0</v>
      </c>
      <c r="H373" s="24">
        <f>G373/D373</f>
        <v>0</v>
      </c>
      <c r="I373" s="225"/>
      <c r="J373" s="175"/>
    </row>
    <row r="374" spans="1:10" s="176" customFormat="1" ht="21" customHeight="1" x14ac:dyDescent="0.25">
      <c r="A374" s="40"/>
      <c r="B374" s="190"/>
      <c r="C374" s="183"/>
      <c r="D374" s="192"/>
      <c r="E374" s="192">
        <f>'Realisasi Agustus'!H382</f>
        <v>0</v>
      </c>
      <c r="F374" s="192"/>
      <c r="G374" s="192"/>
      <c r="H374" s="236"/>
      <c r="I374" s="225"/>
      <c r="J374" s="175"/>
    </row>
    <row r="375" spans="1:10" s="176" customFormat="1" ht="21" customHeight="1" x14ac:dyDescent="0.25">
      <c r="A375" s="40"/>
      <c r="B375" s="167" t="s">
        <v>39</v>
      </c>
      <c r="C375" s="185" t="s">
        <v>219</v>
      </c>
      <c r="D375" s="191">
        <f>D376</f>
        <v>747200000</v>
      </c>
      <c r="E375" s="191">
        <f t="shared" ref="E375:G375" si="133">E376</f>
        <v>0</v>
      </c>
      <c r="F375" s="191">
        <f t="shared" si="133"/>
        <v>0</v>
      </c>
      <c r="G375" s="191">
        <f t="shared" si="133"/>
        <v>0</v>
      </c>
      <c r="H375" s="236">
        <f>G375/D375</f>
        <v>0</v>
      </c>
      <c r="I375" s="225" t="s">
        <v>218</v>
      </c>
      <c r="J375" s="175"/>
    </row>
    <row r="376" spans="1:10" s="176" customFormat="1" ht="21" customHeight="1" x14ac:dyDescent="0.25">
      <c r="A376" s="40"/>
      <c r="B376" s="190" t="s">
        <v>548</v>
      </c>
      <c r="C376" s="183" t="s">
        <v>219</v>
      </c>
      <c r="D376" s="192">
        <v>747200000</v>
      </c>
      <c r="E376" s="192">
        <f>'Realisasi Agustus'!H384</f>
        <v>0</v>
      </c>
      <c r="F376" s="192">
        <v>0</v>
      </c>
      <c r="G376" s="192">
        <f>E376+F376</f>
        <v>0</v>
      </c>
      <c r="H376" s="24">
        <f>G376/D376</f>
        <v>0</v>
      </c>
      <c r="I376" s="225"/>
      <c r="J376" s="175"/>
    </row>
    <row r="377" spans="1:10" s="176" customFormat="1" ht="21" customHeight="1" x14ac:dyDescent="0.25">
      <c r="A377" s="40"/>
      <c r="B377" s="190"/>
      <c r="C377" s="183"/>
      <c r="D377" s="191"/>
      <c r="E377" s="192">
        <f>'Realisasi Agustus'!H385</f>
        <v>0</v>
      </c>
      <c r="F377" s="191"/>
      <c r="G377" s="192"/>
      <c r="H377" s="236"/>
      <c r="I377" s="225"/>
      <c r="J377" s="175"/>
    </row>
    <row r="378" spans="1:10" s="176" customFormat="1" x14ac:dyDescent="0.25">
      <c r="A378" s="40"/>
      <c r="B378" s="167" t="s">
        <v>46</v>
      </c>
      <c r="C378" s="35" t="s">
        <v>220</v>
      </c>
      <c r="D378" s="191">
        <f>SUM(D379)</f>
        <v>53724109000</v>
      </c>
      <c r="E378" s="191">
        <f t="shared" ref="E378:G378" si="134">SUM(E379)</f>
        <v>29548260000</v>
      </c>
      <c r="F378" s="191">
        <f t="shared" si="134"/>
        <v>0</v>
      </c>
      <c r="G378" s="191">
        <f t="shared" si="134"/>
        <v>29548260000</v>
      </c>
      <c r="H378" s="236">
        <f>G378/D378</f>
        <v>0.55000000093068091</v>
      </c>
      <c r="I378" s="223"/>
      <c r="J378" s="175"/>
    </row>
    <row r="379" spans="1:10" s="176" customFormat="1" x14ac:dyDescent="0.25">
      <c r="A379" s="40"/>
      <c r="B379" s="190" t="s">
        <v>549</v>
      </c>
      <c r="C379" s="193" t="s">
        <v>220</v>
      </c>
      <c r="D379" s="181">
        <v>53724109000</v>
      </c>
      <c r="E379" s="192">
        <f>'Realisasi Agustus'!H387</f>
        <v>29548260000</v>
      </c>
      <c r="F379" s="192"/>
      <c r="G379" s="192">
        <f>E379+F379</f>
        <v>29548260000</v>
      </c>
      <c r="H379" s="24">
        <f>G379/D379</f>
        <v>0.55000000093068091</v>
      </c>
      <c r="I379" s="225" t="s">
        <v>218</v>
      </c>
      <c r="J379" s="175"/>
    </row>
    <row r="380" spans="1:10" s="176" customFormat="1" x14ac:dyDescent="0.25">
      <c r="A380" s="40"/>
      <c r="B380" s="190"/>
      <c r="C380" s="193"/>
      <c r="D380" s="181"/>
      <c r="E380" s="192">
        <f>'Realisasi Agustus'!H388</f>
        <v>0</v>
      </c>
      <c r="F380" s="192"/>
      <c r="G380" s="192"/>
      <c r="H380" s="24"/>
      <c r="I380" s="225"/>
      <c r="J380" s="175"/>
    </row>
    <row r="381" spans="1:10" s="176" customFormat="1" x14ac:dyDescent="0.25">
      <c r="A381" s="40"/>
      <c r="B381" s="167" t="s">
        <v>8</v>
      </c>
      <c r="C381" s="35" t="s">
        <v>221</v>
      </c>
      <c r="D381" s="196">
        <f>SUM(D382)</f>
        <v>2271000000</v>
      </c>
      <c r="E381" s="191">
        <f t="shared" ref="E381:G381" si="135">SUM(E382)</f>
        <v>1249050000</v>
      </c>
      <c r="F381" s="191">
        <f t="shared" si="135"/>
        <v>0</v>
      </c>
      <c r="G381" s="191">
        <f t="shared" si="135"/>
        <v>1249050000</v>
      </c>
      <c r="H381" s="236">
        <f>G381/D381</f>
        <v>0.55000000000000004</v>
      </c>
      <c r="I381" s="223"/>
      <c r="J381" s="175"/>
    </row>
    <row r="382" spans="1:10" s="176" customFormat="1" x14ac:dyDescent="0.25">
      <c r="A382" s="40"/>
      <c r="B382" s="190" t="s">
        <v>550</v>
      </c>
      <c r="C382" s="193" t="s">
        <v>221</v>
      </c>
      <c r="D382" s="181">
        <v>2271000000</v>
      </c>
      <c r="E382" s="192">
        <f>'Realisasi Agustus'!H390</f>
        <v>1249050000</v>
      </c>
      <c r="F382" s="192"/>
      <c r="G382" s="192">
        <f>E382+F382</f>
        <v>1249050000</v>
      </c>
      <c r="H382" s="24">
        <f>G382/D382</f>
        <v>0.55000000000000004</v>
      </c>
      <c r="I382" s="225" t="s">
        <v>218</v>
      </c>
      <c r="J382" s="175"/>
    </row>
    <row r="383" spans="1:10" s="176" customFormat="1" x14ac:dyDescent="0.25">
      <c r="A383" s="40"/>
      <c r="B383" s="190"/>
      <c r="C383" s="193"/>
      <c r="D383" s="181"/>
      <c r="E383" s="192">
        <f>'Realisasi Agustus'!H391</f>
        <v>0</v>
      </c>
      <c r="F383" s="192"/>
      <c r="G383" s="192"/>
      <c r="H383" s="24"/>
      <c r="I383" s="225"/>
      <c r="J383" s="175"/>
    </row>
    <row r="384" spans="1:10" s="176" customFormat="1" x14ac:dyDescent="0.25">
      <c r="A384" s="40"/>
      <c r="B384" s="167" t="s">
        <v>49</v>
      </c>
      <c r="C384" s="35" t="s">
        <v>222</v>
      </c>
      <c r="D384" s="191">
        <f>SUM(D385:D390)</f>
        <v>7190684820</v>
      </c>
      <c r="E384" s="191">
        <f t="shared" ref="E384:G384" si="136">SUM(E385:E390)</f>
        <v>2361210007</v>
      </c>
      <c r="F384" s="191">
        <f t="shared" si="136"/>
        <v>0</v>
      </c>
      <c r="G384" s="191">
        <f t="shared" si="136"/>
        <v>2361210007</v>
      </c>
      <c r="H384" s="236">
        <f>G384/D384</f>
        <v>0.32837067207181525</v>
      </c>
      <c r="I384" s="227"/>
      <c r="J384" s="175"/>
    </row>
    <row r="385" spans="1:10" s="176" customFormat="1" x14ac:dyDescent="0.25">
      <c r="A385" s="40"/>
      <c r="B385" s="190" t="s">
        <v>551</v>
      </c>
      <c r="C385" s="193" t="s">
        <v>223</v>
      </c>
      <c r="D385" s="192">
        <v>3898007720</v>
      </c>
      <c r="E385" s="192">
        <f>'Realisasi Agustus'!H393</f>
        <v>1554209607</v>
      </c>
      <c r="F385" s="192"/>
      <c r="G385" s="192">
        <f>E385+F385</f>
        <v>1554209607</v>
      </c>
      <c r="H385" s="24">
        <f>G385/D385</f>
        <v>0.39871896585161204</v>
      </c>
      <c r="I385" s="225" t="s">
        <v>218</v>
      </c>
      <c r="J385" s="175"/>
    </row>
    <row r="386" spans="1:10" s="176" customFormat="1" x14ac:dyDescent="0.25">
      <c r="A386" s="40"/>
      <c r="B386" s="190" t="s">
        <v>552</v>
      </c>
      <c r="C386" s="193" t="s">
        <v>227</v>
      </c>
      <c r="D386" s="192">
        <v>459094000</v>
      </c>
      <c r="E386" s="192">
        <f>'Realisasi Agustus'!H394</f>
        <v>0</v>
      </c>
      <c r="F386" s="192"/>
      <c r="G386" s="192">
        <f t="shared" ref="G386:G393" si="137">E386+F386</f>
        <v>0</v>
      </c>
      <c r="H386" s="24">
        <f>G386/D386</f>
        <v>0</v>
      </c>
      <c r="I386" s="225" t="s">
        <v>216</v>
      </c>
      <c r="J386" s="175"/>
    </row>
    <row r="387" spans="1:10" s="176" customFormat="1" x14ac:dyDescent="0.25">
      <c r="A387" s="40"/>
      <c r="B387" s="190" t="s">
        <v>553</v>
      </c>
      <c r="C387" s="193" t="s">
        <v>224</v>
      </c>
      <c r="D387" s="192">
        <v>586357000</v>
      </c>
      <c r="E387" s="192">
        <f>'Realisasi Agustus'!H395</f>
        <v>0</v>
      </c>
      <c r="F387" s="192"/>
      <c r="G387" s="192">
        <f t="shared" si="137"/>
        <v>0</v>
      </c>
      <c r="H387" s="24">
        <f>G387/D387</f>
        <v>0</v>
      </c>
      <c r="I387" s="225" t="s">
        <v>218</v>
      </c>
      <c r="J387" s="175"/>
    </row>
    <row r="388" spans="1:10" s="176" customFormat="1" ht="18" hidden="1" customHeight="1" x14ac:dyDescent="0.25">
      <c r="A388" s="40"/>
      <c r="B388" s="52"/>
      <c r="C388" s="193" t="s">
        <v>225</v>
      </c>
      <c r="D388" s="192"/>
      <c r="E388" s="192">
        <f>'Realisasi Agustus'!H396</f>
        <v>0</v>
      </c>
      <c r="F388" s="192"/>
      <c r="G388" s="192">
        <f t="shared" si="137"/>
        <v>0</v>
      </c>
      <c r="H388" s="24">
        <v>0</v>
      </c>
      <c r="I388" s="223"/>
      <c r="J388" s="175"/>
    </row>
    <row r="389" spans="1:10" s="176" customFormat="1" x14ac:dyDescent="0.25">
      <c r="A389" s="40"/>
      <c r="B389" s="190" t="s">
        <v>554</v>
      </c>
      <c r="C389" s="193" t="s">
        <v>226</v>
      </c>
      <c r="D389" s="192">
        <v>113748200</v>
      </c>
      <c r="E389" s="192">
        <f>'Realisasi Agustus'!H397</f>
        <v>0</v>
      </c>
      <c r="F389" s="192"/>
      <c r="G389" s="192">
        <f t="shared" si="137"/>
        <v>0</v>
      </c>
      <c r="H389" s="24">
        <f>G389/D389</f>
        <v>0</v>
      </c>
      <c r="I389" s="225" t="s">
        <v>216</v>
      </c>
      <c r="J389" s="175"/>
    </row>
    <row r="390" spans="1:10" s="176" customFormat="1" x14ac:dyDescent="0.25">
      <c r="A390" s="40"/>
      <c r="B390" s="190" t="s">
        <v>386</v>
      </c>
      <c r="C390" s="193" t="s">
        <v>228</v>
      </c>
      <c r="D390" s="192">
        <v>2133477900</v>
      </c>
      <c r="E390" s="192">
        <f>'Realisasi Agustus'!H398</f>
        <v>807000400</v>
      </c>
      <c r="F390" s="192"/>
      <c r="G390" s="192">
        <f t="shared" si="137"/>
        <v>807000400</v>
      </c>
      <c r="H390" s="24">
        <f>G390/D390</f>
        <v>0.37825580475898063</v>
      </c>
      <c r="I390" s="225" t="s">
        <v>216</v>
      </c>
      <c r="J390" s="175"/>
    </row>
    <row r="391" spans="1:10" s="176" customFormat="1" x14ac:dyDescent="0.25">
      <c r="A391" s="40"/>
      <c r="B391" s="190"/>
      <c r="C391" s="193"/>
      <c r="D391" s="192"/>
      <c r="E391" s="192">
        <f>'Realisasi Agustus'!H399</f>
        <v>0</v>
      </c>
      <c r="F391" s="192"/>
      <c r="G391" s="192">
        <f t="shared" si="137"/>
        <v>0</v>
      </c>
      <c r="H391" s="24"/>
      <c r="I391" s="225"/>
      <c r="J391" s="175"/>
    </row>
    <row r="392" spans="1:10" s="176" customFormat="1" x14ac:dyDescent="0.25">
      <c r="A392" s="40"/>
      <c r="B392" s="167" t="s">
        <v>53</v>
      </c>
      <c r="C392" s="35" t="s">
        <v>229</v>
      </c>
      <c r="D392" s="191">
        <f>SUM(D393)</f>
        <v>0</v>
      </c>
      <c r="E392" s="192">
        <f>'Realisasi Agustus'!H400</f>
        <v>0</v>
      </c>
      <c r="F392" s="191">
        <f>SUM(F393)</f>
        <v>0</v>
      </c>
      <c r="G392" s="192">
        <f t="shared" si="137"/>
        <v>0</v>
      </c>
      <c r="H392" s="253" t="e">
        <f>G392/D392</f>
        <v>#DIV/0!</v>
      </c>
      <c r="I392" s="223"/>
      <c r="J392" s="175"/>
    </row>
    <row r="393" spans="1:10" s="176" customFormat="1" x14ac:dyDescent="0.25">
      <c r="A393" s="40"/>
      <c r="B393" s="190" t="s">
        <v>387</v>
      </c>
      <c r="C393" s="193" t="s">
        <v>229</v>
      </c>
      <c r="D393" s="192">
        <v>0</v>
      </c>
      <c r="E393" s="192">
        <f>'Realisasi Agustus'!H401</f>
        <v>0</v>
      </c>
      <c r="F393" s="192"/>
      <c r="G393" s="192">
        <f t="shared" si="137"/>
        <v>0</v>
      </c>
      <c r="H393" s="252" t="e">
        <f>G393/D393</f>
        <v>#DIV/0!</v>
      </c>
      <c r="I393" s="225" t="s">
        <v>216</v>
      </c>
      <c r="J393" s="175"/>
    </row>
    <row r="394" spans="1:10" s="176" customFormat="1" x14ac:dyDescent="0.25">
      <c r="A394" s="40"/>
      <c r="B394" s="190"/>
      <c r="C394" s="193"/>
      <c r="D394" s="192"/>
      <c r="E394" s="192">
        <f>'Realisasi Agustus'!H402</f>
        <v>0</v>
      </c>
      <c r="F394" s="192"/>
      <c r="G394" s="192"/>
      <c r="H394" s="24"/>
      <c r="I394" s="225"/>
      <c r="J394" s="175"/>
    </row>
    <row r="395" spans="1:10" s="176" customFormat="1" x14ac:dyDescent="0.25">
      <c r="A395" s="40"/>
      <c r="B395" s="167" t="s">
        <v>62</v>
      </c>
      <c r="C395" s="35" t="s">
        <v>230</v>
      </c>
      <c r="D395" s="191">
        <f>SUM(D396)</f>
        <v>0</v>
      </c>
      <c r="E395" s="192">
        <f>'Realisasi Agustus'!H403</f>
        <v>0</v>
      </c>
      <c r="F395" s="191">
        <f t="shared" ref="F395:G395" si="138">SUM(F396)</f>
        <v>0</v>
      </c>
      <c r="G395" s="191">
        <f t="shared" si="138"/>
        <v>0</v>
      </c>
      <c r="H395" s="253" t="e">
        <f>G395/D395</f>
        <v>#DIV/0!</v>
      </c>
      <c r="I395" s="223"/>
      <c r="J395" s="175"/>
    </row>
    <row r="396" spans="1:10" s="176" customFormat="1" x14ac:dyDescent="0.25">
      <c r="A396" s="40"/>
      <c r="B396" s="190" t="s">
        <v>555</v>
      </c>
      <c r="C396" s="193" t="s">
        <v>230</v>
      </c>
      <c r="D396" s="192"/>
      <c r="E396" s="192">
        <f>'Realisasi Agustus'!H404</f>
        <v>0</v>
      </c>
      <c r="F396" s="192"/>
      <c r="G396" s="192">
        <f>E396+F396</f>
        <v>0</v>
      </c>
      <c r="H396" s="252" t="e">
        <f>G396/D396</f>
        <v>#DIV/0!</v>
      </c>
      <c r="I396" s="225" t="s">
        <v>216</v>
      </c>
      <c r="J396" s="175"/>
    </row>
    <row r="397" spans="1:10" s="176" customFormat="1" x14ac:dyDescent="0.25">
      <c r="A397" s="40"/>
      <c r="B397" s="190"/>
      <c r="C397" s="193"/>
      <c r="D397" s="192"/>
      <c r="E397" s="192">
        <f>'Realisasi Agustus'!H405</f>
        <v>0</v>
      </c>
      <c r="F397" s="192"/>
      <c r="G397" s="192"/>
      <c r="H397" s="252"/>
      <c r="I397" s="225"/>
      <c r="J397" s="175"/>
    </row>
    <row r="398" spans="1:10" s="176" customFormat="1" x14ac:dyDescent="0.25">
      <c r="A398" s="40"/>
      <c r="B398" s="167" t="s">
        <v>66</v>
      </c>
      <c r="C398" s="35" t="s">
        <v>231</v>
      </c>
      <c r="D398" s="191">
        <f>SUM(D399)</f>
        <v>0</v>
      </c>
      <c r="E398" s="192">
        <f>'Realisasi Agustus'!H406</f>
        <v>0</v>
      </c>
      <c r="F398" s="191">
        <f t="shared" ref="F398:G398" si="139">SUM(F399)</f>
        <v>0</v>
      </c>
      <c r="G398" s="191">
        <f t="shared" si="139"/>
        <v>0</v>
      </c>
      <c r="H398" s="253" t="e">
        <f>G398/D398</f>
        <v>#DIV/0!</v>
      </c>
      <c r="I398" s="223"/>
      <c r="J398" s="175"/>
    </row>
    <row r="399" spans="1:10" s="176" customFormat="1" x14ac:dyDescent="0.25">
      <c r="A399" s="40"/>
      <c r="B399" s="190" t="s">
        <v>556</v>
      </c>
      <c r="C399" s="193" t="s">
        <v>231</v>
      </c>
      <c r="D399" s="192"/>
      <c r="E399" s="192">
        <f>'Realisasi Agustus'!H407</f>
        <v>0</v>
      </c>
      <c r="F399" s="192"/>
      <c r="G399" s="192">
        <f>E399+F399</f>
        <v>0</v>
      </c>
      <c r="H399" s="252" t="e">
        <f>G399/D399</f>
        <v>#DIV/0!</v>
      </c>
      <c r="I399" s="225" t="s">
        <v>216</v>
      </c>
      <c r="J399" s="175"/>
    </row>
    <row r="400" spans="1:10" s="176" customFormat="1" x14ac:dyDescent="0.25">
      <c r="A400" s="40"/>
      <c r="B400" s="190"/>
      <c r="C400" s="193"/>
      <c r="D400" s="192"/>
      <c r="E400" s="192">
        <f>'Realisasi Agustus'!H408</f>
        <v>0</v>
      </c>
      <c r="F400" s="192"/>
      <c r="G400" s="192"/>
      <c r="H400" s="24"/>
      <c r="I400" s="225"/>
      <c r="J400" s="175"/>
    </row>
    <row r="401" spans="1:14" s="176" customFormat="1" x14ac:dyDescent="0.25">
      <c r="A401" s="40"/>
      <c r="B401" s="167" t="s">
        <v>73</v>
      </c>
      <c r="C401" s="185" t="s">
        <v>232</v>
      </c>
      <c r="D401" s="191">
        <f>D402</f>
        <v>289414900</v>
      </c>
      <c r="E401" s="191">
        <f t="shared" ref="E401:G401" si="140">E402</f>
        <v>0</v>
      </c>
      <c r="F401" s="191">
        <f t="shared" si="140"/>
        <v>0</v>
      </c>
      <c r="G401" s="191">
        <f t="shared" si="140"/>
        <v>0</v>
      </c>
      <c r="H401" s="236">
        <f>G401/D401</f>
        <v>0</v>
      </c>
      <c r="I401" s="225"/>
      <c r="J401" s="175"/>
    </row>
    <row r="402" spans="1:14" s="176" customFormat="1" x14ac:dyDescent="0.25">
      <c r="A402" s="40"/>
      <c r="B402" s="190" t="s">
        <v>557</v>
      </c>
      <c r="C402" s="183" t="s">
        <v>232</v>
      </c>
      <c r="D402" s="192">
        <v>289414900</v>
      </c>
      <c r="E402" s="192">
        <f>'Realisasi Agustus'!H410</f>
        <v>0</v>
      </c>
      <c r="F402" s="192"/>
      <c r="G402" s="192">
        <f>E402+F402</f>
        <v>0</v>
      </c>
      <c r="H402" s="24">
        <f>G402/D402</f>
        <v>0</v>
      </c>
      <c r="I402" s="225" t="s">
        <v>216</v>
      </c>
      <c r="J402" s="175"/>
    </row>
    <row r="403" spans="1:14" s="176" customFormat="1" x14ac:dyDescent="0.25">
      <c r="A403" s="40"/>
      <c r="B403" s="190"/>
      <c r="C403" s="183"/>
      <c r="D403" s="192"/>
      <c r="E403" s="192">
        <f>'Realisasi Agustus'!H411</f>
        <v>0</v>
      </c>
      <c r="F403" s="192"/>
      <c r="G403" s="192"/>
      <c r="H403" s="24"/>
      <c r="I403" s="225"/>
      <c r="J403" s="175"/>
    </row>
    <row r="404" spans="1:14" s="176" customFormat="1" x14ac:dyDescent="0.25">
      <c r="A404" s="40"/>
      <c r="B404" s="167" t="s">
        <v>74</v>
      </c>
      <c r="C404" s="185" t="s">
        <v>233</v>
      </c>
      <c r="D404" s="191">
        <f>D405</f>
        <v>254403060</v>
      </c>
      <c r="E404" s="191">
        <f t="shared" ref="E404:G404" si="141">E405</f>
        <v>52966060</v>
      </c>
      <c r="F404" s="191">
        <f t="shared" si="141"/>
        <v>0</v>
      </c>
      <c r="G404" s="191">
        <f t="shared" si="141"/>
        <v>52966060</v>
      </c>
      <c r="H404" s="236">
        <f>G404/D404</f>
        <v>0.20819741712226261</v>
      </c>
      <c r="I404" s="225"/>
      <c r="J404" s="175"/>
    </row>
    <row r="405" spans="1:14" s="176" customFormat="1" x14ac:dyDescent="0.25">
      <c r="A405" s="40"/>
      <c r="B405" s="190" t="s">
        <v>558</v>
      </c>
      <c r="C405" s="183" t="s">
        <v>233</v>
      </c>
      <c r="D405" s="192">
        <v>254403060</v>
      </c>
      <c r="E405" s="192">
        <f>'Realisasi Agustus'!H413</f>
        <v>52966060</v>
      </c>
      <c r="F405" s="192"/>
      <c r="G405" s="192">
        <f>E405+F405</f>
        <v>52966060</v>
      </c>
      <c r="H405" s="24">
        <f>G405/D405</f>
        <v>0.20819741712226261</v>
      </c>
      <c r="I405" s="225" t="s">
        <v>216</v>
      </c>
      <c r="J405" s="175"/>
    </row>
    <row r="406" spans="1:14" s="176" customFormat="1" x14ac:dyDescent="0.25">
      <c r="A406" s="40"/>
      <c r="B406" s="22"/>
      <c r="C406" s="183"/>
      <c r="D406" s="192"/>
      <c r="E406" s="192">
        <f>'Realisasi Agustus'!H414</f>
        <v>0</v>
      </c>
      <c r="F406" s="192"/>
      <c r="G406" s="192"/>
      <c r="H406" s="24"/>
      <c r="I406" s="225"/>
      <c r="J406" s="175"/>
    </row>
    <row r="407" spans="1:14" s="176" customFormat="1" x14ac:dyDescent="0.25">
      <c r="A407" s="40"/>
      <c r="B407" s="167" t="s">
        <v>81</v>
      </c>
      <c r="C407" s="185" t="s">
        <v>234</v>
      </c>
      <c r="D407" s="191">
        <f>D408</f>
        <v>752600000</v>
      </c>
      <c r="E407" s="191">
        <f t="shared" ref="E407:G407" si="142">E408</f>
        <v>376300000</v>
      </c>
      <c r="F407" s="191">
        <f t="shared" si="142"/>
        <v>0</v>
      </c>
      <c r="G407" s="191">
        <f t="shared" si="142"/>
        <v>376300000</v>
      </c>
      <c r="H407" s="236">
        <f>G407/D407</f>
        <v>0.5</v>
      </c>
      <c r="I407" s="225"/>
      <c r="J407" s="175"/>
    </row>
    <row r="408" spans="1:14" s="176" customFormat="1" x14ac:dyDescent="0.25">
      <c r="A408" s="40"/>
      <c r="B408" s="190" t="s">
        <v>559</v>
      </c>
      <c r="C408" s="183" t="s">
        <v>234</v>
      </c>
      <c r="D408" s="192">
        <v>752600000</v>
      </c>
      <c r="E408" s="192">
        <f>'Realisasi Agustus'!H416</f>
        <v>376300000</v>
      </c>
      <c r="F408" s="192"/>
      <c r="G408" s="192">
        <f>E408+F408</f>
        <v>376300000</v>
      </c>
      <c r="H408" s="24">
        <f>G408/D408</f>
        <v>0.5</v>
      </c>
      <c r="I408" s="225" t="s">
        <v>216</v>
      </c>
      <c r="J408" s="175"/>
    </row>
    <row r="409" spans="1:14" s="176" customFormat="1" x14ac:dyDescent="0.25">
      <c r="A409" s="40"/>
      <c r="B409" s="22"/>
      <c r="C409" s="183"/>
      <c r="D409" s="192"/>
      <c r="E409" s="192"/>
      <c r="F409" s="192"/>
      <c r="G409" s="191"/>
      <c r="H409" s="236"/>
      <c r="I409" s="223"/>
      <c r="J409" s="175"/>
    </row>
    <row r="410" spans="1:14" s="176" customFormat="1" x14ac:dyDescent="0.25">
      <c r="A410" s="132" t="s">
        <v>91</v>
      </c>
      <c r="B410" s="133" t="s">
        <v>396</v>
      </c>
      <c r="C410" s="130" t="s">
        <v>236</v>
      </c>
      <c r="D410" s="131">
        <f>D411</f>
        <v>0</v>
      </c>
      <c r="E410" s="131"/>
      <c r="F410" s="131">
        <f t="shared" ref="F410:G411" si="143">F411</f>
        <v>8863324000</v>
      </c>
      <c r="G410" s="131">
        <f t="shared" si="143"/>
        <v>8863324000</v>
      </c>
      <c r="H410" s="389" t="e">
        <f>G410/D410</f>
        <v>#DIV/0!</v>
      </c>
      <c r="I410" s="225" t="s">
        <v>237</v>
      </c>
      <c r="J410" s="175"/>
    </row>
    <row r="411" spans="1:14" s="176" customFormat="1" x14ac:dyDescent="0.25">
      <c r="A411" s="122"/>
      <c r="B411" s="189" t="s">
        <v>397</v>
      </c>
      <c r="C411" s="35" t="s">
        <v>236</v>
      </c>
      <c r="D411" s="121">
        <f>D412</f>
        <v>0</v>
      </c>
      <c r="E411" s="121"/>
      <c r="F411" s="121">
        <f t="shared" si="143"/>
        <v>8863324000</v>
      </c>
      <c r="G411" s="121">
        <f t="shared" si="143"/>
        <v>8863324000</v>
      </c>
      <c r="H411" s="253" t="e">
        <f>G411/D411</f>
        <v>#DIV/0!</v>
      </c>
      <c r="I411" s="225"/>
      <c r="J411" s="175"/>
    </row>
    <row r="412" spans="1:14" s="176" customFormat="1" x14ac:dyDescent="0.25">
      <c r="A412" s="40"/>
      <c r="B412" s="189" t="s">
        <v>560</v>
      </c>
      <c r="C412" s="35" t="s">
        <v>236</v>
      </c>
      <c r="D412" s="121"/>
      <c r="E412" s="121"/>
      <c r="F412" s="121">
        <v>8863324000</v>
      </c>
      <c r="G412" s="191">
        <f>E412+F412</f>
        <v>8863324000</v>
      </c>
      <c r="H412" s="253" t="e">
        <f>G412/D412</f>
        <v>#DIV/0!</v>
      </c>
      <c r="I412" s="223"/>
      <c r="J412" s="175"/>
      <c r="N412" s="176" t="s">
        <v>580</v>
      </c>
    </row>
    <row r="413" spans="1:14" s="176" customFormat="1" ht="30" x14ac:dyDescent="0.25">
      <c r="A413" s="40"/>
      <c r="B413" s="178"/>
      <c r="C413" s="54" t="s">
        <v>238</v>
      </c>
      <c r="D413" s="55"/>
      <c r="E413" s="55"/>
      <c r="F413" s="55"/>
      <c r="G413" s="192">
        <f>F413-D413</f>
        <v>0</v>
      </c>
      <c r="H413" s="24"/>
      <c r="I413" s="225"/>
      <c r="J413" s="175"/>
    </row>
    <row r="414" spans="1:14" s="176" customFormat="1" ht="30" x14ac:dyDescent="0.25">
      <c r="A414" s="40"/>
      <c r="B414" s="178"/>
      <c r="C414" s="54" t="s">
        <v>239</v>
      </c>
      <c r="D414" s="55"/>
      <c r="E414" s="55"/>
      <c r="F414" s="55"/>
      <c r="G414" s="192">
        <f>F414-D414</f>
        <v>0</v>
      </c>
      <c r="H414" s="24"/>
      <c r="I414" s="225"/>
      <c r="J414" s="175"/>
    </row>
    <row r="415" spans="1:14" s="176" customFormat="1" ht="30" x14ac:dyDescent="0.25">
      <c r="A415" s="40"/>
      <c r="B415" s="178"/>
      <c r="C415" s="54" t="s">
        <v>240</v>
      </c>
      <c r="D415" s="55"/>
      <c r="E415" s="55"/>
      <c r="F415" s="55"/>
      <c r="G415" s="192">
        <f>F415-D415</f>
        <v>0</v>
      </c>
      <c r="H415" s="24"/>
      <c r="I415" s="225"/>
      <c r="J415" s="175"/>
    </row>
    <row r="416" spans="1:14" s="176" customFormat="1" x14ac:dyDescent="0.25">
      <c r="A416" s="56"/>
      <c r="B416" s="57"/>
      <c r="C416" s="58"/>
      <c r="D416" s="192"/>
      <c r="E416" s="192"/>
      <c r="F416" s="192"/>
      <c r="G416" s="191"/>
      <c r="H416" s="236"/>
      <c r="I416" s="228"/>
      <c r="J416" s="175"/>
    </row>
    <row r="417" spans="1:10" s="176" customFormat="1" ht="25.5" customHeight="1" x14ac:dyDescent="0.25">
      <c r="A417" s="134" t="s">
        <v>417</v>
      </c>
      <c r="B417" s="135" t="s">
        <v>398</v>
      </c>
      <c r="C417" s="136" t="s">
        <v>399</v>
      </c>
      <c r="D417" s="137">
        <f>SUM(D418+D431)</f>
        <v>145504655888.33002</v>
      </c>
      <c r="E417" s="137">
        <f t="shared" ref="E417:G417" si="144">SUM(E418+E431)</f>
        <v>73736868431</v>
      </c>
      <c r="F417" s="137">
        <f t="shared" si="144"/>
        <v>0</v>
      </c>
      <c r="G417" s="137">
        <f t="shared" si="144"/>
        <v>73736868431</v>
      </c>
      <c r="H417" s="238">
        <f t="shared" ref="H417:H429" si="145">G417/D417</f>
        <v>0.50676638476496993</v>
      </c>
      <c r="I417" s="229"/>
      <c r="J417" s="175"/>
    </row>
    <row r="418" spans="1:10" s="176" customFormat="1" ht="25.5" customHeight="1" x14ac:dyDescent="0.25">
      <c r="A418" s="169" t="s">
        <v>426</v>
      </c>
      <c r="B418" s="189" t="s">
        <v>400</v>
      </c>
      <c r="C418" s="185" t="s">
        <v>401</v>
      </c>
      <c r="D418" s="191">
        <f>D419</f>
        <v>135038655888.33</v>
      </c>
      <c r="E418" s="191">
        <f t="shared" ref="E418:G418" si="146">E419</f>
        <v>68120868431</v>
      </c>
      <c r="F418" s="191">
        <f t="shared" si="146"/>
        <v>0</v>
      </c>
      <c r="G418" s="191">
        <f t="shared" si="146"/>
        <v>68120868431</v>
      </c>
      <c r="H418" s="236">
        <f t="shared" si="145"/>
        <v>0.50445457993400378</v>
      </c>
      <c r="I418" s="230"/>
      <c r="J418" s="175"/>
    </row>
    <row r="419" spans="1:10" s="176" customFormat="1" ht="25.5" customHeight="1" x14ac:dyDescent="0.25">
      <c r="A419" s="169"/>
      <c r="B419" s="189" t="s">
        <v>402</v>
      </c>
      <c r="C419" s="185" t="s">
        <v>403</v>
      </c>
      <c r="D419" s="191">
        <f>SUM(D420:D429)</f>
        <v>135038655888.33</v>
      </c>
      <c r="E419" s="191">
        <f t="shared" ref="E419:G419" si="147">SUM(E420:E429)</f>
        <v>68120868431</v>
      </c>
      <c r="F419" s="191">
        <f t="shared" si="147"/>
        <v>0</v>
      </c>
      <c r="G419" s="191">
        <f t="shared" si="147"/>
        <v>68120868431</v>
      </c>
      <c r="H419" s="236">
        <f t="shared" si="145"/>
        <v>0.50445457993400378</v>
      </c>
      <c r="I419" s="230"/>
      <c r="J419" s="175"/>
    </row>
    <row r="420" spans="1:10" s="176" customFormat="1" ht="25.5" customHeight="1" x14ac:dyDescent="0.25">
      <c r="A420" s="184" t="s">
        <v>89</v>
      </c>
      <c r="B420" s="190" t="s">
        <v>561</v>
      </c>
      <c r="C420" s="183" t="s">
        <v>244</v>
      </c>
      <c r="D420" s="178">
        <v>32206000000</v>
      </c>
      <c r="E420" s="178">
        <f>'Realisasi Agustus'!H428</f>
        <v>13133389309</v>
      </c>
      <c r="F420" s="178"/>
      <c r="G420" s="192">
        <f>E420+F420</f>
        <v>13133389309</v>
      </c>
      <c r="H420" s="24">
        <f t="shared" si="145"/>
        <v>0.40779324687946344</v>
      </c>
      <c r="I420" s="231"/>
      <c r="J420" s="175"/>
    </row>
    <row r="421" spans="1:10" s="176" customFormat="1" ht="25.5" customHeight="1" x14ac:dyDescent="0.25">
      <c r="A421" s="188"/>
      <c r="B421" s="178"/>
      <c r="C421" s="193" t="s">
        <v>664</v>
      </c>
      <c r="D421" s="55">
        <v>2690492585</v>
      </c>
      <c r="E421" s="178">
        <f>'Realisasi Agustus'!H429</f>
        <v>0</v>
      </c>
      <c r="F421" s="55"/>
      <c r="G421" s="192">
        <f t="shared" ref="G421:G429" si="148">E421+F421</f>
        <v>0</v>
      </c>
      <c r="H421" s="24">
        <f t="shared" si="145"/>
        <v>0</v>
      </c>
      <c r="I421" s="231"/>
      <c r="J421" s="175"/>
    </row>
    <row r="422" spans="1:10" s="176" customFormat="1" ht="25.5" customHeight="1" x14ac:dyDescent="0.25">
      <c r="A422" s="184" t="s">
        <v>91</v>
      </c>
      <c r="B422" s="190" t="s">
        <v>562</v>
      </c>
      <c r="C422" s="183" t="s">
        <v>245</v>
      </c>
      <c r="D422" s="178">
        <v>17327982563</v>
      </c>
      <c r="E422" s="178">
        <f>'Realisasi Agustus'!H430</f>
        <v>11127715256</v>
      </c>
      <c r="F422" s="178"/>
      <c r="G422" s="192">
        <f t="shared" si="148"/>
        <v>11127715256</v>
      </c>
      <c r="H422" s="24">
        <f t="shared" si="145"/>
        <v>0.64218181288805809</v>
      </c>
      <c r="I422" s="231"/>
      <c r="J422" s="175"/>
    </row>
    <row r="423" spans="1:10" s="176" customFormat="1" ht="25.5" customHeight="1" x14ac:dyDescent="0.25">
      <c r="A423" s="188"/>
      <c r="B423" s="178"/>
      <c r="C423" s="193" t="s">
        <v>665</v>
      </c>
      <c r="D423" s="55">
        <v>2504702813</v>
      </c>
      <c r="E423" s="178">
        <f>'Realisasi Agustus'!H431</f>
        <v>0</v>
      </c>
      <c r="F423" s="55"/>
      <c r="G423" s="192">
        <f t="shared" si="148"/>
        <v>0</v>
      </c>
      <c r="H423" s="24">
        <f t="shared" si="145"/>
        <v>0</v>
      </c>
      <c r="I423" s="232"/>
      <c r="J423" s="175"/>
    </row>
    <row r="424" spans="1:10" s="176" customFormat="1" ht="25.5" customHeight="1" x14ac:dyDescent="0.25">
      <c r="A424" s="184" t="s">
        <v>72</v>
      </c>
      <c r="B424" s="190" t="s">
        <v>563</v>
      </c>
      <c r="C424" s="183" t="s">
        <v>246</v>
      </c>
      <c r="D424" s="178">
        <v>52123540857</v>
      </c>
      <c r="E424" s="178">
        <f>'Realisasi Agustus'!H432</f>
        <v>27524539677</v>
      </c>
      <c r="F424" s="178"/>
      <c r="G424" s="192">
        <f t="shared" si="148"/>
        <v>27524539677</v>
      </c>
      <c r="H424" s="24">
        <f t="shared" si="145"/>
        <v>0.52806350498161825</v>
      </c>
      <c r="I424" s="232"/>
      <c r="J424" s="175"/>
    </row>
    <row r="425" spans="1:10" s="176" customFormat="1" ht="25.5" customHeight="1" x14ac:dyDescent="0.25">
      <c r="A425" s="188"/>
      <c r="B425" s="178"/>
      <c r="C425" s="193" t="s">
        <v>666</v>
      </c>
      <c r="D425" s="55">
        <v>4867170924</v>
      </c>
      <c r="E425" s="178">
        <f>'Realisasi Agustus'!H433</f>
        <v>0</v>
      </c>
      <c r="F425" s="55"/>
      <c r="G425" s="192">
        <f t="shared" si="148"/>
        <v>0</v>
      </c>
      <c r="H425" s="24">
        <f t="shared" si="145"/>
        <v>0</v>
      </c>
      <c r="I425" s="231"/>
      <c r="J425" s="175"/>
    </row>
    <row r="426" spans="1:10" s="176" customFormat="1" ht="25.5" customHeight="1" x14ac:dyDescent="0.25">
      <c r="A426" s="184" t="s">
        <v>168</v>
      </c>
      <c r="B426" s="190" t="s">
        <v>564</v>
      </c>
      <c r="C426" s="183" t="s">
        <v>247</v>
      </c>
      <c r="D426" s="192">
        <v>4416983951</v>
      </c>
      <c r="E426" s="178">
        <f>'Realisasi Agustus'!H434</f>
        <v>546188358</v>
      </c>
      <c r="F426" s="192"/>
      <c r="G426" s="192">
        <f t="shared" si="148"/>
        <v>546188358</v>
      </c>
      <c r="H426" s="24">
        <f t="shared" si="145"/>
        <v>0.1236564053795902</v>
      </c>
      <c r="I426" s="233"/>
      <c r="J426" s="175"/>
    </row>
    <row r="427" spans="1:10" s="176" customFormat="1" ht="25.5" customHeight="1" x14ac:dyDescent="0.25">
      <c r="A427" s="188"/>
      <c r="B427" s="178"/>
      <c r="C427" s="193" t="s">
        <v>667</v>
      </c>
      <c r="D427" s="55">
        <v>94357303</v>
      </c>
      <c r="E427" s="178">
        <f>'Realisasi Agustus'!H435</f>
        <v>0</v>
      </c>
      <c r="F427" s="55"/>
      <c r="G427" s="192">
        <f t="shared" si="148"/>
        <v>0</v>
      </c>
      <c r="H427" s="24">
        <f t="shared" si="145"/>
        <v>0</v>
      </c>
      <c r="I427" s="232"/>
      <c r="J427" s="175"/>
    </row>
    <row r="428" spans="1:10" s="176" customFormat="1" ht="25.5" customHeight="1" x14ac:dyDescent="0.25">
      <c r="A428" s="184" t="s">
        <v>404</v>
      </c>
      <c r="B428" s="190" t="s">
        <v>565</v>
      </c>
      <c r="C428" s="183" t="s">
        <v>248</v>
      </c>
      <c r="D428" s="178">
        <v>18807424892.330002</v>
      </c>
      <c r="E428" s="178">
        <f>'Realisasi Agustus'!H436</f>
        <v>12848973467</v>
      </c>
      <c r="F428" s="178"/>
      <c r="G428" s="192">
        <f t="shared" si="148"/>
        <v>12848973467</v>
      </c>
      <c r="H428" s="24">
        <f t="shared" si="145"/>
        <v>0.68318621717532613</v>
      </c>
      <c r="I428" s="232"/>
      <c r="J428" s="175"/>
    </row>
    <row r="429" spans="1:10" s="176" customFormat="1" ht="25.5" customHeight="1" x14ac:dyDescent="0.25">
      <c r="A429" s="188"/>
      <c r="B429" s="178"/>
      <c r="C429" s="193" t="s">
        <v>668</v>
      </c>
      <c r="D429" s="55"/>
      <c r="E429" s="178">
        <f>'Realisasi Agustus'!H437</f>
        <v>2940062364</v>
      </c>
      <c r="F429" s="55"/>
      <c r="G429" s="192">
        <f t="shared" si="148"/>
        <v>2940062364</v>
      </c>
      <c r="H429" s="252" t="e">
        <f t="shared" si="145"/>
        <v>#DIV/0!</v>
      </c>
      <c r="I429" s="231"/>
      <c r="J429" s="175"/>
    </row>
    <row r="430" spans="1:10" s="176" customFormat="1" ht="25.5" customHeight="1" x14ac:dyDescent="0.25">
      <c r="A430" s="188"/>
      <c r="B430" s="178"/>
      <c r="C430" s="193"/>
      <c r="D430" s="55"/>
      <c r="E430" s="55"/>
      <c r="F430" s="55"/>
      <c r="G430" s="192"/>
      <c r="H430" s="24"/>
      <c r="I430" s="231"/>
      <c r="J430" s="175"/>
    </row>
    <row r="431" spans="1:10" s="176" customFormat="1" ht="25.5" customHeight="1" x14ac:dyDescent="0.25">
      <c r="A431" s="169" t="s">
        <v>163</v>
      </c>
      <c r="B431" s="189" t="s">
        <v>425</v>
      </c>
      <c r="C431" s="185" t="s">
        <v>428</v>
      </c>
      <c r="D431" s="53">
        <f>SUM(D432+D434)</f>
        <v>10466000000</v>
      </c>
      <c r="E431" s="53">
        <f>E434</f>
        <v>5616000000</v>
      </c>
      <c r="F431" s="53">
        <f t="shared" ref="F431:G431" si="149">SUM(F432+F434)</f>
        <v>0</v>
      </c>
      <c r="G431" s="53">
        <f t="shared" si="149"/>
        <v>5616000000</v>
      </c>
      <c r="H431" s="236">
        <f>G431/D431</f>
        <v>0.53659468755971718</v>
      </c>
      <c r="I431" s="231"/>
      <c r="J431" s="175"/>
    </row>
    <row r="432" spans="1:10" s="176" customFormat="1" ht="25.5" customHeight="1" x14ac:dyDescent="0.25">
      <c r="A432" s="188"/>
      <c r="B432" s="189" t="s">
        <v>429</v>
      </c>
      <c r="C432" s="185" t="s">
        <v>430</v>
      </c>
      <c r="D432" s="55">
        <f>D433</f>
        <v>0</v>
      </c>
      <c r="E432" s="55"/>
      <c r="F432" s="55">
        <f>F433</f>
        <v>0</v>
      </c>
      <c r="G432" s="192">
        <f>F432-D432</f>
        <v>0</v>
      </c>
      <c r="H432" s="24"/>
      <c r="I432" s="231"/>
      <c r="J432" s="175"/>
    </row>
    <row r="433" spans="1:10" s="176" customFormat="1" ht="25.5" customHeight="1" x14ac:dyDescent="0.25">
      <c r="A433" s="188"/>
      <c r="B433" s="189" t="s">
        <v>431</v>
      </c>
      <c r="C433" s="185" t="s">
        <v>432</v>
      </c>
      <c r="D433" s="55"/>
      <c r="E433" s="55"/>
      <c r="F433" s="55"/>
      <c r="G433" s="192">
        <f>F433-D433</f>
        <v>0</v>
      </c>
      <c r="H433" s="24"/>
      <c r="I433" s="231"/>
      <c r="J433" s="175"/>
    </row>
    <row r="434" spans="1:10" s="176" customFormat="1" ht="25.5" customHeight="1" x14ac:dyDescent="0.25">
      <c r="A434" s="188"/>
      <c r="B434" s="189" t="s">
        <v>433</v>
      </c>
      <c r="C434" s="185" t="s">
        <v>434</v>
      </c>
      <c r="D434" s="53">
        <f>D435+D437+D438</f>
        <v>10466000000</v>
      </c>
      <c r="E434" s="53">
        <f>E435</f>
        <v>5616000000</v>
      </c>
      <c r="F434" s="53">
        <f t="shared" ref="F434:G434" si="150">F435+F437+F438</f>
        <v>0</v>
      </c>
      <c r="G434" s="53">
        <f t="shared" si="150"/>
        <v>5616000000</v>
      </c>
      <c r="H434" s="236">
        <f t="shared" ref="H434:H448" si="151">G434/D434</f>
        <v>0.53659468755971718</v>
      </c>
      <c r="I434" s="231"/>
      <c r="J434" s="175"/>
    </row>
    <row r="435" spans="1:10" s="176" customFormat="1" ht="25.5" customHeight="1" x14ac:dyDescent="0.25">
      <c r="A435" s="188"/>
      <c r="B435" s="189" t="s">
        <v>566</v>
      </c>
      <c r="C435" s="185" t="s">
        <v>445</v>
      </c>
      <c r="D435" s="53">
        <f>D436</f>
        <v>10466000000</v>
      </c>
      <c r="E435" s="53">
        <f>SUM(E436:E438)</f>
        <v>5616000000</v>
      </c>
      <c r="F435" s="53">
        <f t="shared" ref="F435:G435" si="152">F436</f>
        <v>0</v>
      </c>
      <c r="G435" s="53">
        <f t="shared" si="152"/>
        <v>4628000000</v>
      </c>
      <c r="H435" s="236">
        <f t="shared" si="151"/>
        <v>0.44219377030384099</v>
      </c>
      <c r="I435" s="231"/>
      <c r="J435" s="175"/>
    </row>
    <row r="436" spans="1:10" s="176" customFormat="1" ht="25.5" customHeight="1" x14ac:dyDescent="0.25">
      <c r="A436" s="188"/>
      <c r="B436" s="189"/>
      <c r="C436" s="35" t="s">
        <v>602</v>
      </c>
      <c r="D436" s="53">
        <v>10466000000</v>
      </c>
      <c r="E436" s="53">
        <f>'Realisasi Agustus'!H444</f>
        <v>4628000000</v>
      </c>
      <c r="F436" s="53"/>
      <c r="G436" s="191">
        <f>E436+F436</f>
        <v>4628000000</v>
      </c>
      <c r="H436" s="236">
        <f t="shared" si="151"/>
        <v>0.44219377030384099</v>
      </c>
      <c r="I436" s="231"/>
      <c r="J436" s="175"/>
    </row>
    <row r="437" spans="1:10" s="176" customFormat="1" ht="25.5" customHeight="1" x14ac:dyDescent="0.25">
      <c r="A437" s="188"/>
      <c r="B437" s="189"/>
      <c r="C437" s="35" t="s">
        <v>603</v>
      </c>
      <c r="D437" s="53"/>
      <c r="E437" s="53"/>
      <c r="F437" s="53"/>
      <c r="G437" s="191">
        <f t="shared" ref="G437:G440" si="153">E437+F437</f>
        <v>0</v>
      </c>
      <c r="H437" s="253" t="e">
        <f t="shared" si="151"/>
        <v>#DIV/0!</v>
      </c>
      <c r="I437" s="231"/>
      <c r="J437" s="175"/>
    </row>
    <row r="438" spans="1:10" s="176" customFormat="1" ht="25.5" customHeight="1" x14ac:dyDescent="0.25">
      <c r="A438" s="188"/>
      <c r="B438" s="189"/>
      <c r="C438" s="35" t="s">
        <v>604</v>
      </c>
      <c r="D438" s="53">
        <f>SUM(D439:D440)</f>
        <v>0</v>
      </c>
      <c r="E438" s="53">
        <f>'Realisasi Agustus'!H446</f>
        <v>988000000</v>
      </c>
      <c r="F438" s="53">
        <f t="shared" ref="F438" si="154">SUM(F439:F440)</f>
        <v>0</v>
      </c>
      <c r="G438" s="191">
        <f t="shared" si="153"/>
        <v>988000000</v>
      </c>
      <c r="H438" s="253" t="e">
        <f t="shared" si="151"/>
        <v>#DIV/0!</v>
      </c>
      <c r="I438" s="231"/>
      <c r="J438" s="175"/>
    </row>
    <row r="439" spans="1:10" s="176" customFormat="1" ht="25.5" customHeight="1" x14ac:dyDescent="0.25">
      <c r="A439" s="188"/>
      <c r="B439" s="189"/>
      <c r="C439" s="193" t="s">
        <v>605</v>
      </c>
      <c r="D439" s="55"/>
      <c r="E439" s="55"/>
      <c r="F439" s="55"/>
      <c r="G439" s="191">
        <f t="shared" si="153"/>
        <v>0</v>
      </c>
      <c r="H439" s="252" t="e">
        <f t="shared" si="151"/>
        <v>#DIV/0!</v>
      </c>
      <c r="I439" s="231"/>
      <c r="J439" s="175"/>
    </row>
    <row r="440" spans="1:10" s="176" customFormat="1" ht="25.5" customHeight="1" x14ac:dyDescent="0.25">
      <c r="A440" s="188"/>
      <c r="B440" s="178"/>
      <c r="C440" s="193" t="s">
        <v>606</v>
      </c>
      <c r="D440" s="55"/>
      <c r="E440" s="55"/>
      <c r="F440" s="55"/>
      <c r="G440" s="191">
        <f t="shared" si="153"/>
        <v>0</v>
      </c>
      <c r="H440" s="252" t="e">
        <f t="shared" si="151"/>
        <v>#DIV/0!</v>
      </c>
      <c r="I440" s="231"/>
      <c r="J440" s="175"/>
    </row>
    <row r="441" spans="1:10" s="176" customFormat="1" ht="25.5" customHeight="1" x14ac:dyDescent="0.25">
      <c r="A441" s="129" t="s">
        <v>241</v>
      </c>
      <c r="B441" s="128" t="s">
        <v>242</v>
      </c>
      <c r="C441" s="41" t="s">
        <v>243</v>
      </c>
      <c r="D441" s="42">
        <f>D442</f>
        <v>0</v>
      </c>
      <c r="E441" s="42"/>
      <c r="F441" s="42">
        <f t="shared" ref="F441:G442" si="155">F442</f>
        <v>0</v>
      </c>
      <c r="G441" s="42">
        <f t="shared" si="155"/>
        <v>0</v>
      </c>
      <c r="H441" s="390" t="e">
        <f t="shared" si="151"/>
        <v>#DIV/0!</v>
      </c>
      <c r="I441" s="231"/>
      <c r="J441" s="175"/>
    </row>
    <row r="442" spans="1:10" s="176" customFormat="1" ht="41.25" customHeight="1" x14ac:dyDescent="0.25">
      <c r="A442" s="168" t="s">
        <v>166</v>
      </c>
      <c r="B442" s="189" t="s">
        <v>418</v>
      </c>
      <c r="C442" s="30" t="s">
        <v>419</v>
      </c>
      <c r="D442" s="191">
        <f>D443</f>
        <v>0</v>
      </c>
      <c r="E442" s="191"/>
      <c r="F442" s="191">
        <f t="shared" si="155"/>
        <v>0</v>
      </c>
      <c r="G442" s="191">
        <f t="shared" si="155"/>
        <v>0</v>
      </c>
      <c r="H442" s="253" t="e">
        <f t="shared" si="151"/>
        <v>#DIV/0!</v>
      </c>
      <c r="I442" s="231"/>
      <c r="J442" s="175"/>
    </row>
    <row r="443" spans="1:10" s="176" customFormat="1" ht="25.5" customHeight="1" x14ac:dyDescent="0.25">
      <c r="A443" s="169"/>
      <c r="B443" s="189" t="s">
        <v>420</v>
      </c>
      <c r="C443" s="185" t="s">
        <v>421</v>
      </c>
      <c r="D443" s="191">
        <f>D444+D458</f>
        <v>0</v>
      </c>
      <c r="E443" s="191"/>
      <c r="F443" s="191">
        <f t="shared" ref="F443:G443" si="156">F444+F458</f>
        <v>0</v>
      </c>
      <c r="G443" s="191">
        <f t="shared" si="156"/>
        <v>0</v>
      </c>
      <c r="H443" s="253" t="e">
        <f t="shared" si="151"/>
        <v>#DIV/0!</v>
      </c>
      <c r="I443" s="231"/>
      <c r="J443" s="175"/>
    </row>
    <row r="444" spans="1:10" s="176" customFormat="1" ht="25.5" customHeight="1" x14ac:dyDescent="0.25">
      <c r="A444" s="168" t="s">
        <v>89</v>
      </c>
      <c r="B444" s="189" t="s">
        <v>422</v>
      </c>
      <c r="C444" s="185" t="s">
        <v>423</v>
      </c>
      <c r="D444" s="191">
        <f>D445</f>
        <v>0</v>
      </c>
      <c r="E444" s="191"/>
      <c r="F444" s="191">
        <f t="shared" ref="F444:G444" si="157">F445</f>
        <v>0</v>
      </c>
      <c r="G444" s="191">
        <f t="shared" si="157"/>
        <v>0</v>
      </c>
      <c r="H444" s="253" t="e">
        <f t="shared" si="151"/>
        <v>#DIV/0!</v>
      </c>
      <c r="I444" s="231"/>
      <c r="J444" s="175"/>
    </row>
    <row r="445" spans="1:10" s="176" customFormat="1" ht="25.5" customHeight="1" x14ac:dyDescent="0.25">
      <c r="A445" s="169"/>
      <c r="B445" s="190" t="s">
        <v>424</v>
      </c>
      <c r="C445" s="183" t="s">
        <v>423</v>
      </c>
      <c r="D445" s="192"/>
      <c r="E445" s="192"/>
      <c r="F445" s="192"/>
      <c r="G445" s="192">
        <f>E445+F445</f>
        <v>0</v>
      </c>
      <c r="H445" s="252" t="e">
        <f t="shared" si="151"/>
        <v>#DIV/0!</v>
      </c>
      <c r="I445" s="231"/>
      <c r="J445" s="175"/>
    </row>
    <row r="446" spans="1:10" s="176" customFormat="1" ht="25.5" customHeight="1" x14ac:dyDescent="0.25">
      <c r="A446" s="169"/>
      <c r="B446" s="190"/>
      <c r="C446" s="193" t="s">
        <v>607</v>
      </c>
      <c r="D446" s="192"/>
      <c r="E446" s="192"/>
      <c r="F446" s="192"/>
      <c r="G446" s="192"/>
      <c r="H446" s="252" t="e">
        <f t="shared" si="151"/>
        <v>#DIV/0!</v>
      </c>
      <c r="I446" s="231"/>
      <c r="J446" s="175"/>
    </row>
    <row r="447" spans="1:10" s="176" customFormat="1" ht="25.5" customHeight="1" x14ac:dyDescent="0.25">
      <c r="A447" s="169"/>
      <c r="B447" s="190"/>
      <c r="C447" s="193" t="s">
        <v>608</v>
      </c>
      <c r="D447" s="192"/>
      <c r="E447" s="192"/>
      <c r="F447" s="192"/>
      <c r="G447" s="192"/>
      <c r="H447" s="252" t="e">
        <f t="shared" si="151"/>
        <v>#DIV/0!</v>
      </c>
      <c r="I447" s="231"/>
      <c r="J447" s="175"/>
    </row>
    <row r="448" spans="1:10" s="176" customFormat="1" ht="25.5" customHeight="1" x14ac:dyDescent="0.25">
      <c r="A448" s="169"/>
      <c r="B448" s="190"/>
      <c r="C448" s="193" t="s">
        <v>609</v>
      </c>
      <c r="D448" s="192"/>
      <c r="E448" s="192"/>
      <c r="F448" s="192"/>
      <c r="G448" s="192"/>
      <c r="H448" s="252" t="e">
        <f t="shared" si="151"/>
        <v>#DIV/0!</v>
      </c>
      <c r="I448" s="231"/>
      <c r="J448" s="175"/>
    </row>
    <row r="449" spans="1:10" s="176" customFormat="1" ht="25.5" customHeight="1" x14ac:dyDescent="0.25">
      <c r="A449" s="169"/>
      <c r="B449" s="190"/>
      <c r="C449" s="183" t="s">
        <v>610</v>
      </c>
      <c r="D449" s="192"/>
      <c r="E449" s="192"/>
      <c r="F449" s="192"/>
      <c r="G449" s="192"/>
      <c r="H449" s="252"/>
      <c r="I449" s="231"/>
      <c r="J449" s="175"/>
    </row>
    <row r="450" spans="1:10" s="176" customFormat="1" ht="25.5" customHeight="1" x14ac:dyDescent="0.25">
      <c r="A450" s="169"/>
      <c r="B450" s="190"/>
      <c r="C450" s="183" t="s">
        <v>611</v>
      </c>
      <c r="D450" s="192"/>
      <c r="E450" s="192"/>
      <c r="F450" s="192"/>
      <c r="G450" s="192"/>
      <c r="H450" s="252"/>
      <c r="I450" s="231"/>
      <c r="J450" s="175"/>
    </row>
    <row r="451" spans="1:10" s="176" customFormat="1" ht="25.5" customHeight="1" x14ac:dyDescent="0.25">
      <c r="A451" s="169"/>
      <c r="B451" s="190"/>
      <c r="C451" s="183" t="s">
        <v>612</v>
      </c>
      <c r="D451" s="192"/>
      <c r="E451" s="192"/>
      <c r="F451" s="192"/>
      <c r="G451" s="192"/>
      <c r="H451" s="252"/>
      <c r="I451" s="231"/>
      <c r="J451" s="175"/>
    </row>
    <row r="452" spans="1:10" s="176" customFormat="1" ht="25.5" customHeight="1" x14ac:dyDescent="0.25">
      <c r="A452" s="169"/>
      <c r="B452" s="190"/>
      <c r="C452" s="183" t="s">
        <v>613</v>
      </c>
      <c r="D452" s="192"/>
      <c r="E452" s="192"/>
      <c r="F452" s="192"/>
      <c r="G452" s="192"/>
      <c r="H452" s="252"/>
      <c r="I452" s="231"/>
      <c r="J452" s="175"/>
    </row>
    <row r="453" spans="1:10" s="176" customFormat="1" ht="25.5" customHeight="1" x14ac:dyDescent="0.25">
      <c r="A453" s="169"/>
      <c r="B453" s="190"/>
      <c r="C453" s="193" t="s">
        <v>614</v>
      </c>
      <c r="D453" s="192"/>
      <c r="E453" s="192"/>
      <c r="F453" s="192"/>
      <c r="G453" s="192"/>
      <c r="H453" s="252" t="e">
        <f>G453/D453</f>
        <v>#DIV/0!</v>
      </c>
      <c r="I453" s="231"/>
      <c r="J453" s="175"/>
    </row>
    <row r="454" spans="1:10" s="176" customFormat="1" ht="25.5" customHeight="1" x14ac:dyDescent="0.25">
      <c r="A454" s="169"/>
      <c r="B454" s="190"/>
      <c r="C454" s="183" t="s">
        <v>616</v>
      </c>
      <c r="D454" s="192"/>
      <c r="E454" s="192"/>
      <c r="F454" s="192"/>
      <c r="G454" s="192"/>
      <c r="H454" s="252"/>
      <c r="I454" s="231"/>
      <c r="J454" s="175"/>
    </row>
    <row r="455" spans="1:10" s="176" customFormat="1" ht="25.5" customHeight="1" x14ac:dyDescent="0.25">
      <c r="A455" s="169"/>
      <c r="B455" s="190"/>
      <c r="C455" s="183" t="s">
        <v>615</v>
      </c>
      <c r="D455" s="192"/>
      <c r="E455" s="192"/>
      <c r="F455" s="192"/>
      <c r="G455" s="192"/>
      <c r="H455" s="252"/>
      <c r="I455" s="231"/>
      <c r="J455" s="175"/>
    </row>
    <row r="456" spans="1:10" s="176" customFormat="1" ht="25.5" customHeight="1" x14ac:dyDescent="0.25">
      <c r="A456" s="169"/>
      <c r="B456" s="190"/>
      <c r="C456" s="183" t="s">
        <v>617</v>
      </c>
      <c r="D456" s="192"/>
      <c r="E456" s="192"/>
      <c r="F456" s="192"/>
      <c r="G456" s="192"/>
      <c r="H456" s="252"/>
      <c r="I456" s="231"/>
      <c r="J456" s="175"/>
    </row>
    <row r="457" spans="1:10" s="176" customFormat="1" ht="25.5" customHeight="1" x14ac:dyDescent="0.25">
      <c r="A457" s="169"/>
      <c r="B457" s="190"/>
      <c r="C457" s="183"/>
      <c r="D457" s="192"/>
      <c r="E457" s="192"/>
      <c r="F457" s="192"/>
      <c r="G457" s="192"/>
      <c r="H457" s="252"/>
      <c r="I457" s="231"/>
      <c r="J457" s="175"/>
    </row>
    <row r="458" spans="1:10" s="176" customFormat="1" ht="25.5" customHeight="1" x14ac:dyDescent="0.25">
      <c r="A458" s="168" t="s">
        <v>91</v>
      </c>
      <c r="B458" s="189" t="s">
        <v>618</v>
      </c>
      <c r="C458" s="185" t="s">
        <v>620</v>
      </c>
      <c r="D458" s="191">
        <f>D459</f>
        <v>0</v>
      </c>
      <c r="E458" s="191"/>
      <c r="F458" s="191">
        <f t="shared" ref="F458:G458" si="158">F459</f>
        <v>0</v>
      </c>
      <c r="G458" s="191">
        <f t="shared" si="158"/>
        <v>0</v>
      </c>
      <c r="H458" s="253" t="e">
        <f>G458/D458</f>
        <v>#DIV/0!</v>
      </c>
      <c r="I458" s="231"/>
      <c r="J458" s="175"/>
    </row>
    <row r="459" spans="1:10" s="176" customFormat="1" ht="32.25" customHeight="1" x14ac:dyDescent="0.25">
      <c r="A459" s="169"/>
      <c r="B459" s="190" t="s">
        <v>619</v>
      </c>
      <c r="C459" s="58" t="s">
        <v>621</v>
      </c>
      <c r="D459" s="192">
        <v>0</v>
      </c>
      <c r="E459" s="192"/>
      <c r="F459" s="192"/>
      <c r="G459" s="192"/>
      <c r="H459" s="252" t="e">
        <f>G459/D459</f>
        <v>#DIV/0!</v>
      </c>
      <c r="I459" s="231"/>
      <c r="J459" s="175"/>
    </row>
    <row r="460" spans="1:10" s="176" customFormat="1" ht="25.5" customHeight="1" x14ac:dyDescent="0.25">
      <c r="A460" s="169"/>
      <c r="B460" s="190"/>
      <c r="C460" s="183"/>
      <c r="D460" s="192"/>
      <c r="E460" s="192"/>
      <c r="F460" s="192"/>
      <c r="G460" s="192"/>
      <c r="H460" s="24"/>
      <c r="I460" s="231"/>
      <c r="J460" s="175"/>
    </row>
    <row r="461" spans="1:10" s="176" customFormat="1" ht="30.75" customHeight="1" thickBot="1" x14ac:dyDescent="0.3">
      <c r="A461" s="59"/>
      <c r="B461" s="60"/>
      <c r="C461" s="61" t="s">
        <v>249</v>
      </c>
      <c r="D461" s="62">
        <f>D11</f>
        <v>1363482538886.3301</v>
      </c>
      <c r="E461" s="62">
        <f>E11</f>
        <v>878798204140.12988</v>
      </c>
      <c r="F461" s="62">
        <f t="shared" ref="F461:G461" si="159">F11</f>
        <v>93240496308.75</v>
      </c>
      <c r="G461" s="62">
        <f t="shared" si="159"/>
        <v>972038700448.88</v>
      </c>
      <c r="H461" s="242">
        <f>G461/D461</f>
        <v>0.71290879987566624</v>
      </c>
      <c r="I461" s="234"/>
      <c r="J461" s="175"/>
    </row>
    <row r="462" spans="1:10" s="176" customFormat="1" hidden="1" x14ac:dyDescent="0.25">
      <c r="A462" s="63"/>
      <c r="B462" s="64"/>
      <c r="C462" s="65"/>
      <c r="D462" s="66"/>
      <c r="E462" s="66"/>
      <c r="F462" s="66"/>
      <c r="G462" s="66"/>
      <c r="H462" s="66"/>
      <c r="I462" s="67" t="e">
        <f>SUM(F462/D462)</f>
        <v>#DIV/0!</v>
      </c>
      <c r="J462" s="175"/>
    </row>
    <row r="463" spans="1:10" s="176" customFormat="1" hidden="1" x14ac:dyDescent="0.25">
      <c r="A463" s="68" t="s">
        <v>250</v>
      </c>
      <c r="B463" s="69" t="s">
        <v>46</v>
      </c>
      <c r="C463" s="70" t="s">
        <v>251</v>
      </c>
      <c r="D463" s="71" t="e">
        <f>SUM(#REF!-#REF!)</f>
        <v>#REF!</v>
      </c>
      <c r="E463" s="71"/>
      <c r="F463" s="71" t="e">
        <f>SUM(#REF!-#REF!)</f>
        <v>#REF!</v>
      </c>
      <c r="G463" s="71"/>
      <c r="H463" s="71"/>
      <c r="I463" s="72" t="e">
        <f>SUM(F463/#REF!)</f>
        <v>#REF!</v>
      </c>
      <c r="J463" s="175"/>
    </row>
    <row r="464" spans="1:10" s="176" customFormat="1" hidden="1" x14ac:dyDescent="0.25">
      <c r="A464" s="68"/>
      <c r="B464" s="69" t="s">
        <v>252</v>
      </c>
      <c r="C464" s="70" t="s">
        <v>253</v>
      </c>
      <c r="D464" s="71" t="e">
        <f>SUM(#REF!-#REF!)</f>
        <v>#REF!</v>
      </c>
      <c r="E464" s="71"/>
      <c r="F464" s="71" t="e">
        <f>SUM(#REF!-#REF!)</f>
        <v>#REF!</v>
      </c>
      <c r="G464" s="71"/>
      <c r="H464" s="71"/>
      <c r="I464" s="72" t="e">
        <f>SUM(F464/#REF!)</f>
        <v>#REF!</v>
      </c>
      <c r="J464" s="175"/>
    </row>
    <row r="465" spans="1:10" s="176" customFormat="1" hidden="1" x14ac:dyDescent="0.25">
      <c r="A465" s="68"/>
      <c r="B465" s="69" t="s">
        <v>254</v>
      </c>
      <c r="C465" s="70" t="s">
        <v>255</v>
      </c>
      <c r="D465" s="71" t="e">
        <f>SUM(#REF!-#REF!)</f>
        <v>#REF!</v>
      </c>
      <c r="E465" s="71"/>
      <c r="F465" s="71" t="e">
        <f>SUM(#REF!-#REF!)</f>
        <v>#REF!</v>
      </c>
      <c r="G465" s="71"/>
      <c r="H465" s="71"/>
      <c r="I465" s="72" t="e">
        <f>SUM(F465/#REF!)</f>
        <v>#REF!</v>
      </c>
      <c r="J465" s="175"/>
    </row>
    <row r="466" spans="1:10" s="176" customFormat="1" hidden="1" x14ac:dyDescent="0.25">
      <c r="A466" s="68"/>
      <c r="B466" s="69" t="s">
        <v>256</v>
      </c>
      <c r="C466" s="70" t="s">
        <v>257</v>
      </c>
      <c r="D466" s="71" t="e">
        <f>SUM(#REF!-#REF!)</f>
        <v>#REF!</v>
      </c>
      <c r="E466" s="71"/>
      <c r="F466" s="71" t="e">
        <f>SUM(#REF!-#REF!)</f>
        <v>#REF!</v>
      </c>
      <c r="G466" s="71"/>
      <c r="H466" s="71"/>
      <c r="I466" s="72">
        <v>1</v>
      </c>
      <c r="J466" s="175"/>
    </row>
    <row r="467" spans="1:10" s="176" customFormat="1" hidden="1" x14ac:dyDescent="0.25">
      <c r="A467" s="68"/>
      <c r="B467" s="69" t="s">
        <v>258</v>
      </c>
      <c r="C467" s="70" t="s">
        <v>259</v>
      </c>
      <c r="D467" s="71" t="e">
        <f>SUM(#REF!-#REF!)</f>
        <v>#REF!</v>
      </c>
      <c r="E467" s="71"/>
      <c r="F467" s="71" t="e">
        <f>SUM(#REF!-#REF!)</f>
        <v>#REF!</v>
      </c>
      <c r="G467" s="71"/>
      <c r="H467" s="71"/>
      <c r="I467" s="72">
        <v>1</v>
      </c>
      <c r="J467" s="175"/>
    </row>
    <row r="468" spans="1:10" s="176" customFormat="1" hidden="1" x14ac:dyDescent="0.25">
      <c r="A468" s="68"/>
      <c r="B468" s="73" t="s">
        <v>260</v>
      </c>
      <c r="C468" s="74" t="s">
        <v>261</v>
      </c>
      <c r="D468" s="38" t="e">
        <f>SUM(#REF!-#REF!)</f>
        <v>#REF!</v>
      </c>
      <c r="E468" s="38"/>
      <c r="F468" s="38" t="e">
        <f>SUM(#REF!-#REF!)</f>
        <v>#REF!</v>
      </c>
      <c r="G468" s="38"/>
      <c r="H468" s="38"/>
      <c r="I468" s="75">
        <v>1</v>
      </c>
      <c r="J468" s="175"/>
    </row>
    <row r="469" spans="1:10" s="176" customFormat="1" hidden="1" x14ac:dyDescent="0.25">
      <c r="A469" s="68"/>
      <c r="B469" s="76"/>
      <c r="C469" s="74" t="s">
        <v>262</v>
      </c>
      <c r="D469" s="38" t="e">
        <f>SUM(#REF!-#REF!)</f>
        <v>#REF!</v>
      </c>
      <c r="E469" s="38"/>
      <c r="F469" s="38" t="e">
        <f>SUM(#REF!-#REF!)</f>
        <v>#REF!</v>
      </c>
      <c r="G469" s="38"/>
      <c r="H469" s="38"/>
      <c r="I469" s="75">
        <v>1</v>
      </c>
      <c r="J469" s="175"/>
    </row>
    <row r="470" spans="1:10" s="176" customFormat="1" ht="18" hidden="1" customHeight="1" x14ac:dyDescent="0.25">
      <c r="A470" s="68"/>
      <c r="B470" s="77"/>
      <c r="C470" s="78" t="s">
        <v>263</v>
      </c>
      <c r="D470" s="38" t="e">
        <f>SUM(#REF!-#REF!)</f>
        <v>#REF!</v>
      </c>
      <c r="E470" s="38"/>
      <c r="F470" s="38" t="e">
        <f>SUM(#REF!-#REF!)</f>
        <v>#REF!</v>
      </c>
      <c r="G470" s="38"/>
      <c r="H470" s="38"/>
      <c r="I470" s="72" t="e">
        <f>SUM(F470/#REF!)</f>
        <v>#REF!</v>
      </c>
      <c r="J470" s="175"/>
    </row>
    <row r="471" spans="1:10" s="175" customFormat="1" x14ac:dyDescent="0.25">
      <c r="A471" s="1"/>
      <c r="B471" s="79"/>
      <c r="C471" s="346"/>
      <c r="D471" s="80"/>
      <c r="E471" s="80"/>
      <c r="F471" s="80"/>
      <c r="G471" s="80"/>
      <c r="H471" s="80"/>
      <c r="I471" s="346"/>
    </row>
    <row r="472" spans="1:10" s="175" customFormat="1" x14ac:dyDescent="0.25">
      <c r="A472" s="1"/>
      <c r="B472" s="79"/>
      <c r="C472" s="346"/>
      <c r="D472" s="194"/>
      <c r="E472" s="194"/>
      <c r="F472" s="194"/>
      <c r="G472" s="194"/>
      <c r="H472" s="194"/>
    </row>
    <row r="473" spans="1:10" s="175" customFormat="1" x14ac:dyDescent="0.25">
      <c r="A473" s="287"/>
      <c r="B473" s="288"/>
      <c r="C473" s="346"/>
      <c r="G473" s="291" t="s">
        <v>696</v>
      </c>
      <c r="H473" s="194"/>
    </row>
    <row r="474" spans="1:10" s="175" customFormat="1" x14ac:dyDescent="0.25">
      <c r="A474" s="1"/>
      <c r="B474" s="79"/>
      <c r="C474" s="346"/>
      <c r="G474" s="291" t="s">
        <v>630</v>
      </c>
      <c r="H474" s="201"/>
    </row>
    <row r="475" spans="1:10" s="175" customFormat="1" x14ac:dyDescent="0.25">
      <c r="A475" s="1"/>
      <c r="B475" s="79"/>
      <c r="C475" s="346"/>
      <c r="G475" s="291"/>
      <c r="H475" s="195"/>
    </row>
    <row r="476" spans="1:10" s="175" customFormat="1" x14ac:dyDescent="0.25">
      <c r="A476" s="1"/>
      <c r="B476" s="79"/>
      <c r="C476" s="346"/>
      <c r="G476" s="291"/>
      <c r="H476" s="195"/>
    </row>
    <row r="477" spans="1:10" s="175" customFormat="1" x14ac:dyDescent="0.25">
      <c r="A477" s="1"/>
      <c r="B477" s="79"/>
      <c r="C477" s="346"/>
      <c r="G477" s="291"/>
      <c r="H477" s="195"/>
    </row>
    <row r="478" spans="1:10" s="175" customFormat="1" x14ac:dyDescent="0.25">
      <c r="A478" s="1"/>
      <c r="B478" s="79"/>
      <c r="C478" s="346"/>
      <c r="G478" s="292" t="s">
        <v>579</v>
      </c>
      <c r="H478" s="195"/>
    </row>
    <row r="479" spans="1:10" s="175" customFormat="1" x14ac:dyDescent="0.25">
      <c r="A479" s="1"/>
      <c r="B479" s="79"/>
      <c r="C479" s="346"/>
      <c r="G479" s="291" t="s">
        <v>577</v>
      </c>
      <c r="H479" s="201"/>
    </row>
    <row r="480" spans="1:10" x14ac:dyDescent="0.25">
      <c r="G480" s="291" t="s">
        <v>576</v>
      </c>
    </row>
  </sheetData>
  <mergeCells count="11">
    <mergeCell ref="A7:A8"/>
    <mergeCell ref="B7:B8"/>
    <mergeCell ref="C7:C8"/>
    <mergeCell ref="E7:G7"/>
    <mergeCell ref="H7:H8"/>
    <mergeCell ref="I7:I8"/>
    <mergeCell ref="B2:C2"/>
    <mergeCell ref="B3:C3"/>
    <mergeCell ref="B4:C4"/>
    <mergeCell ref="B5:C5"/>
    <mergeCell ref="F6:H6"/>
  </mergeCells>
  <pageMargins left="0.59" right="0.15748031496062992" top="1.27" bottom="0.47244094488188981" header="0.39370078740157483" footer="0.23622047244094491"/>
  <pageSetup paperSize="9" scale="55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M62"/>
  <sheetViews>
    <sheetView zoomScale="79" zoomScaleNormal="79" workbookViewId="0">
      <selection activeCell="G29" sqref="G29"/>
    </sheetView>
  </sheetViews>
  <sheetFormatPr defaultColWidth="9.28515625" defaultRowHeight="13.15" customHeight="1" x14ac:dyDescent="0.25"/>
  <cols>
    <col min="1" max="1" width="6.7109375" style="113" customWidth="1"/>
    <col min="2" max="2" width="16.140625" style="113" customWidth="1"/>
    <col min="3" max="3" width="56" style="81" customWidth="1"/>
    <col min="4" max="4" width="29.5703125" style="81" customWidth="1"/>
    <col min="5" max="5" width="29.140625" style="81" customWidth="1"/>
    <col min="6" max="6" width="28.42578125" style="81" customWidth="1"/>
    <col min="7" max="7" width="28.85546875" style="81" customWidth="1"/>
    <col min="8" max="8" width="12.85546875" style="81" bestFit="1" customWidth="1"/>
    <col min="9" max="9" width="31.140625" style="271" customWidth="1"/>
    <col min="10" max="10" width="33" style="271" customWidth="1"/>
    <col min="11" max="11" width="30.5703125" style="81" customWidth="1"/>
    <col min="12" max="12" width="24.28515625" style="81" bestFit="1" customWidth="1"/>
    <col min="13" max="13" width="23.5703125" style="81" customWidth="1"/>
    <col min="14" max="30" width="9.28515625" style="81" customWidth="1"/>
    <col min="31" max="16384" width="9.28515625" style="81"/>
  </cols>
  <sheetData>
    <row r="2" spans="1:13" ht="17.25" customHeight="1" x14ac:dyDescent="0.25">
      <c r="B2" s="452" t="s">
        <v>0</v>
      </c>
      <c r="C2" s="452"/>
      <c r="D2" s="452"/>
      <c r="E2" s="5" t="s">
        <v>486</v>
      </c>
      <c r="F2" s="5"/>
      <c r="G2" s="175"/>
      <c r="H2" s="175"/>
    </row>
    <row r="3" spans="1:13" ht="17.25" customHeight="1" x14ac:dyDescent="0.25">
      <c r="B3" s="445" t="s">
        <v>480</v>
      </c>
      <c r="C3" s="445"/>
      <c r="D3" s="445"/>
      <c r="E3" s="5" t="s">
        <v>631</v>
      </c>
      <c r="F3" s="5"/>
      <c r="G3" s="175"/>
      <c r="H3" s="175"/>
    </row>
    <row r="4" spans="1:13" ht="23.25" customHeight="1" x14ac:dyDescent="0.25">
      <c r="B4" s="453" t="s">
        <v>481</v>
      </c>
      <c r="C4" s="453"/>
      <c r="D4" s="453"/>
      <c r="E4" s="6" t="s">
        <v>695</v>
      </c>
      <c r="F4" s="6"/>
      <c r="G4" s="175"/>
      <c r="H4" s="175"/>
    </row>
    <row r="5" spans="1:13" ht="23.25" customHeight="1" x14ac:dyDescent="0.25">
      <c r="B5" s="453"/>
      <c r="C5" s="453"/>
      <c r="D5" s="6"/>
      <c r="E5" s="6"/>
      <c r="F5" s="175"/>
      <c r="G5" s="175"/>
      <c r="H5" s="175"/>
    </row>
    <row r="6" spans="1:13" ht="21" customHeight="1" x14ac:dyDescent="0.25">
      <c r="B6" s="348"/>
      <c r="C6" s="348"/>
      <c r="D6" s="7"/>
      <c r="E6" s="7"/>
      <c r="F6" s="449"/>
      <c r="G6" s="449"/>
      <c r="H6" s="449"/>
    </row>
    <row r="7" spans="1:13" ht="21" customHeight="1" thickBot="1" x14ac:dyDescent="0.3">
      <c r="B7" s="348"/>
      <c r="C7" s="348"/>
      <c r="D7" s="7"/>
      <c r="E7" s="7"/>
      <c r="F7" s="449"/>
      <c r="G7" s="449"/>
      <c r="H7" s="449"/>
    </row>
    <row r="8" spans="1:13" s="83" customFormat="1" ht="23.25" customHeight="1" x14ac:dyDescent="0.25">
      <c r="A8" s="435" t="s">
        <v>2</v>
      </c>
      <c r="B8" s="437" t="s">
        <v>3</v>
      </c>
      <c r="C8" s="437" t="s">
        <v>4</v>
      </c>
      <c r="D8" s="202" t="s">
        <v>5</v>
      </c>
      <c r="E8" s="441" t="s">
        <v>475</v>
      </c>
      <c r="F8" s="441"/>
      <c r="G8" s="441"/>
      <c r="H8" s="454" t="s">
        <v>6</v>
      </c>
      <c r="I8" s="272"/>
      <c r="J8" s="272"/>
    </row>
    <row r="9" spans="1:13" s="83" customFormat="1" ht="23.25" customHeight="1" x14ac:dyDescent="0.25">
      <c r="A9" s="436"/>
      <c r="B9" s="438"/>
      <c r="C9" s="438"/>
      <c r="D9" s="203" t="s">
        <v>697</v>
      </c>
      <c r="E9" s="251" t="s">
        <v>476</v>
      </c>
      <c r="F9" s="251" t="s">
        <v>477</v>
      </c>
      <c r="G9" s="251" t="s">
        <v>478</v>
      </c>
      <c r="H9" s="455"/>
      <c r="I9" s="272"/>
      <c r="J9" s="272"/>
    </row>
    <row r="10" spans="1:13" ht="15.75" customHeight="1" x14ac:dyDescent="0.25">
      <c r="A10" s="11">
        <v>1</v>
      </c>
      <c r="B10" s="12">
        <v>2</v>
      </c>
      <c r="C10" s="13">
        <v>3</v>
      </c>
      <c r="D10" s="14">
        <v>4</v>
      </c>
      <c r="E10" s="14">
        <v>5</v>
      </c>
      <c r="F10" s="14">
        <v>6</v>
      </c>
      <c r="G10" s="15" t="s">
        <v>582</v>
      </c>
      <c r="H10" s="235" t="s">
        <v>583</v>
      </c>
    </row>
    <row r="11" spans="1:13" ht="20.25" customHeight="1" x14ac:dyDescent="0.25">
      <c r="A11" s="318"/>
      <c r="B11" s="199" t="s">
        <v>473</v>
      </c>
      <c r="C11" s="200" t="s">
        <v>9</v>
      </c>
      <c r="D11" s="275">
        <f>D12+D20+D31</f>
        <v>1363482538886.3301</v>
      </c>
      <c r="E11" s="275">
        <f t="shared" ref="E11:G11" si="0">E12+E20+E31</f>
        <v>878798204140.13</v>
      </c>
      <c r="F11" s="275">
        <f t="shared" si="0"/>
        <v>93240496308.75</v>
      </c>
      <c r="G11" s="275">
        <f t="shared" si="0"/>
        <v>972038700448.88</v>
      </c>
      <c r="H11" s="276">
        <f>G11/D11</f>
        <v>0.71290879987566624</v>
      </c>
      <c r="I11" s="328"/>
      <c r="J11" s="328"/>
      <c r="K11" s="328"/>
      <c r="L11" s="271"/>
    </row>
    <row r="12" spans="1:13" ht="20.25" customHeight="1" x14ac:dyDescent="0.25">
      <c r="A12" s="149" t="s">
        <v>426</v>
      </c>
      <c r="B12" s="150" t="s">
        <v>11</v>
      </c>
      <c r="C12" s="151" t="s">
        <v>443</v>
      </c>
      <c r="D12" s="152">
        <f>SUM(D13+D14+D18+D19)</f>
        <v>443574940245</v>
      </c>
      <c r="E12" s="152">
        <f>SUM(E13+E14+E18+E19)</f>
        <v>346988293063.13</v>
      </c>
      <c r="F12" s="152">
        <f t="shared" ref="F12:G12" si="1">SUM(F13+F14+F18+F19)</f>
        <v>25054111980.75</v>
      </c>
      <c r="G12" s="152">
        <f t="shared" si="1"/>
        <v>372042405043.88</v>
      </c>
      <c r="H12" s="243">
        <f>G12/D12</f>
        <v>0.83873630200657778</v>
      </c>
      <c r="I12" s="329"/>
      <c r="J12" s="329"/>
      <c r="K12" s="329"/>
      <c r="L12" s="329"/>
    </row>
    <row r="13" spans="1:13" ht="20.25" customHeight="1" x14ac:dyDescent="0.25">
      <c r="A13" s="319" t="s">
        <v>19</v>
      </c>
      <c r="B13" s="256" t="s">
        <v>345</v>
      </c>
      <c r="C13" s="265" t="s">
        <v>264</v>
      </c>
      <c r="D13" s="258">
        <f>'Realisasi Sept'!D13</f>
        <v>222013986230</v>
      </c>
      <c r="E13" s="258">
        <f>'Rkp Agustus'!H13</f>
        <v>190774659916.35999</v>
      </c>
      <c r="F13" s="258">
        <f>'Realisasi Sept'!F13</f>
        <v>10247737837</v>
      </c>
      <c r="G13" s="258">
        <f>E13+F13</f>
        <v>201022397753.35999</v>
      </c>
      <c r="H13" s="259">
        <f t="shared" ref="H13:H35" si="2">G13/D13</f>
        <v>0.90544925194535564</v>
      </c>
      <c r="J13" s="344"/>
      <c r="K13" s="271"/>
      <c r="M13" s="90"/>
    </row>
    <row r="14" spans="1:13" ht="20.25" customHeight="1" x14ac:dyDescent="0.25">
      <c r="A14" s="320" t="s">
        <v>39</v>
      </c>
      <c r="B14" s="266" t="s">
        <v>346</v>
      </c>
      <c r="C14" s="267" t="s">
        <v>265</v>
      </c>
      <c r="D14" s="268">
        <f>SUM(D15:D17)</f>
        <v>47985440000</v>
      </c>
      <c r="E14" s="268">
        <f t="shared" ref="E14:G14" si="3">SUM(E15:E17)</f>
        <v>18806064247.169998</v>
      </c>
      <c r="F14" s="268">
        <f t="shared" si="3"/>
        <v>2765207277</v>
      </c>
      <c r="G14" s="268">
        <f t="shared" si="3"/>
        <v>21571271524.169998</v>
      </c>
      <c r="H14" s="269">
        <f t="shared" si="2"/>
        <v>0.44953784990134504</v>
      </c>
      <c r="K14" s="271"/>
      <c r="M14" s="90"/>
    </row>
    <row r="15" spans="1:13" ht="20.25" customHeight="1" x14ac:dyDescent="0.25">
      <c r="A15" s="321"/>
      <c r="B15" s="86" t="s">
        <v>288</v>
      </c>
      <c r="C15" s="87" t="s">
        <v>55</v>
      </c>
      <c r="D15" s="88">
        <f>'Realisasi Sept'!D31+'Realisasi Sept'!D41+'Realisasi Sept'!D59+'Realisasi Sept'!D64+'Realisasi Sept'!D98</f>
        <v>4579475000</v>
      </c>
      <c r="E15" s="173">
        <f>'Rkp Agustus'!H15</f>
        <v>1264544650</v>
      </c>
      <c r="F15" s="88">
        <f>'Realisasi Sept'!F30+'Realisasi Sept'!F59+'Realisasi Sept'!F64+'Realisasi Sept'!F98</f>
        <v>185301900</v>
      </c>
      <c r="G15" s="88">
        <f>E15+F15</f>
        <v>1449846550</v>
      </c>
      <c r="H15" s="245">
        <f t="shared" si="2"/>
        <v>0.31659667319943879</v>
      </c>
      <c r="M15" s="90"/>
    </row>
    <row r="16" spans="1:13" ht="20.25" customHeight="1" x14ac:dyDescent="0.25">
      <c r="A16" s="321"/>
      <c r="B16" s="86" t="s">
        <v>285</v>
      </c>
      <c r="C16" s="87" t="s">
        <v>444</v>
      </c>
      <c r="D16" s="88">
        <f>'Realisasi Sept'!D45+'Realisasi Sept'!D54+'Realisasi Sept'!D69+'Realisasi Sept'!D81+'Realisasi Sept'!D93</f>
        <v>28403965000</v>
      </c>
      <c r="E16" s="173">
        <f>'Rkp Agustus'!H16</f>
        <v>14924551850</v>
      </c>
      <c r="F16" s="88">
        <f>'Realisasi Sept'!F45+'Realisasi Sept'!F54+'Realisasi Sept'!F69+'Realisasi Sept'!F81+'Realisasi Sept'!F93</f>
        <v>2134878200</v>
      </c>
      <c r="G16" s="88">
        <f t="shared" ref="G16:G19" si="4">E16+F16</f>
        <v>17059430050</v>
      </c>
      <c r="H16" s="245">
        <f t="shared" si="2"/>
        <v>0.60060030527428121</v>
      </c>
      <c r="M16" s="90"/>
    </row>
    <row r="17" spans="1:13" ht="20.25" customHeight="1" x14ac:dyDescent="0.25">
      <c r="A17" s="321"/>
      <c r="B17" s="86" t="s">
        <v>298</v>
      </c>
      <c r="C17" s="87" t="s">
        <v>60</v>
      </c>
      <c r="D17" s="88">
        <f>'Realisasi Sept'!D38+'Realisasi Sept'!D51+'Realisasi Sept'!D76</f>
        <v>15002000000</v>
      </c>
      <c r="E17" s="173">
        <f>'Rkp Agustus'!H17</f>
        <v>2616967747.1700001</v>
      </c>
      <c r="F17" s="88">
        <f>'Realisasi Sept'!F38+'Realisasi Sept'!F51+'Realisasi Sept'!F76</f>
        <v>445027177</v>
      </c>
      <c r="G17" s="88">
        <f t="shared" si="4"/>
        <v>3061994924.1700001</v>
      </c>
      <c r="H17" s="245">
        <f t="shared" si="2"/>
        <v>0.20410578084055458</v>
      </c>
      <c r="M17" s="90"/>
    </row>
    <row r="18" spans="1:13" ht="31.5" customHeight="1" x14ac:dyDescent="0.25">
      <c r="A18" s="320" t="s">
        <v>46</v>
      </c>
      <c r="B18" s="256" t="s">
        <v>347</v>
      </c>
      <c r="C18" s="257" t="s">
        <v>266</v>
      </c>
      <c r="D18" s="258">
        <f>'Realisasi Sept'!D102</f>
        <v>1663748324</v>
      </c>
      <c r="E18" s="258">
        <f>'Rkp Agustus'!H18</f>
        <v>1079761191</v>
      </c>
      <c r="F18" s="258">
        <f>'Realisasi Sept'!F102</f>
        <v>0</v>
      </c>
      <c r="G18" s="260">
        <f t="shared" si="4"/>
        <v>1079761191</v>
      </c>
      <c r="H18" s="259">
        <f t="shared" si="2"/>
        <v>0.64899310516149922</v>
      </c>
      <c r="I18" s="273"/>
      <c r="M18" s="90"/>
    </row>
    <row r="19" spans="1:13" ht="20.25" customHeight="1" x14ac:dyDescent="0.25">
      <c r="A19" s="322" t="s">
        <v>8</v>
      </c>
      <c r="B19" s="266" t="s">
        <v>348</v>
      </c>
      <c r="C19" s="267" t="s">
        <v>96</v>
      </c>
      <c r="D19" s="268">
        <f>'Realisasi Sept'!D108</f>
        <v>171911765691</v>
      </c>
      <c r="E19" s="258">
        <f>'Rkp Agustus'!H19</f>
        <v>136327807708.60001</v>
      </c>
      <c r="F19" s="268">
        <f>'Realisasi Sept'!F108</f>
        <v>12041166866.75</v>
      </c>
      <c r="G19" s="260">
        <f t="shared" si="4"/>
        <v>148368974575.35001</v>
      </c>
      <c r="H19" s="269">
        <f t="shared" si="2"/>
        <v>0.86305305503076157</v>
      </c>
      <c r="K19" s="271"/>
      <c r="L19" s="271"/>
      <c r="M19" s="90"/>
    </row>
    <row r="20" spans="1:13" ht="20.25" customHeight="1" x14ac:dyDescent="0.25">
      <c r="A20" s="149" t="s">
        <v>163</v>
      </c>
      <c r="B20" s="150" t="s">
        <v>164</v>
      </c>
      <c r="C20" s="151" t="s">
        <v>268</v>
      </c>
      <c r="D20" s="155">
        <f>SUM(D21+D28)</f>
        <v>919907598641.33008</v>
      </c>
      <c r="E20" s="155">
        <f t="shared" ref="E20:G20" si="5">SUM(E21+E28)</f>
        <v>531809911077</v>
      </c>
      <c r="F20" s="155">
        <f>SUM(F21+F28)</f>
        <v>68186384328</v>
      </c>
      <c r="G20" s="155">
        <f t="shared" si="5"/>
        <v>599996295405</v>
      </c>
      <c r="H20" s="243">
        <f t="shared" si="2"/>
        <v>0.65223539439305922</v>
      </c>
      <c r="K20" s="271"/>
    </row>
    <row r="21" spans="1:13" ht="20.25" customHeight="1" x14ac:dyDescent="0.25">
      <c r="A21" s="156" t="s">
        <v>416</v>
      </c>
      <c r="B21" s="157" t="s">
        <v>350</v>
      </c>
      <c r="C21" s="158" t="s">
        <v>351</v>
      </c>
      <c r="D21" s="159">
        <f>SUM(D22+D27)</f>
        <v>774402942753</v>
      </c>
      <c r="E21" s="159">
        <f t="shared" ref="E21:G21" si="6">SUM(E22+E27)</f>
        <v>458073042646</v>
      </c>
      <c r="F21" s="159">
        <f t="shared" si="6"/>
        <v>68186384328</v>
      </c>
      <c r="G21" s="159">
        <f t="shared" si="6"/>
        <v>526259426974</v>
      </c>
      <c r="H21" s="246">
        <f t="shared" si="2"/>
        <v>0.67956795864327346</v>
      </c>
      <c r="K21" s="271"/>
    </row>
    <row r="22" spans="1:13" ht="20.25" customHeight="1" x14ac:dyDescent="0.25">
      <c r="A22" s="160" t="s">
        <v>89</v>
      </c>
      <c r="B22" s="161" t="s">
        <v>352</v>
      </c>
      <c r="C22" s="162" t="s">
        <v>435</v>
      </c>
      <c r="D22" s="163">
        <f>SUM(D23:D26)</f>
        <v>774402942753</v>
      </c>
      <c r="E22" s="163">
        <f t="shared" ref="E22:G22" si="7">SUM(E23:E26)</f>
        <v>458073042646</v>
      </c>
      <c r="F22" s="163">
        <f>SUM(F23:F26)</f>
        <v>59323060328</v>
      </c>
      <c r="G22" s="163">
        <f t="shared" si="7"/>
        <v>517396102974</v>
      </c>
      <c r="H22" s="247">
        <f t="shared" si="2"/>
        <v>0.66812259407829533</v>
      </c>
    </row>
    <row r="23" spans="1:13" ht="20.25" customHeight="1" x14ac:dyDescent="0.25">
      <c r="A23" s="323" t="s">
        <v>13</v>
      </c>
      <c r="B23" s="147" t="s">
        <v>353</v>
      </c>
      <c r="C23" s="148" t="s">
        <v>354</v>
      </c>
      <c r="D23" s="173">
        <v>162373681000</v>
      </c>
      <c r="E23" s="173">
        <f>'Rkp Agustus'!H23</f>
        <v>67295708090</v>
      </c>
      <c r="F23" s="173">
        <f>'Realisasi Sept'!F235</f>
        <v>17980594800</v>
      </c>
      <c r="G23" s="173">
        <f>E23+F23</f>
        <v>85276302890</v>
      </c>
      <c r="H23" s="244">
        <f t="shared" si="2"/>
        <v>0.52518550029053046</v>
      </c>
      <c r="K23" s="271"/>
    </row>
    <row r="24" spans="1:13" ht="20.25" customHeight="1" x14ac:dyDescent="0.25">
      <c r="A24" s="85" t="s">
        <v>16</v>
      </c>
      <c r="B24" s="86" t="s">
        <v>368</v>
      </c>
      <c r="C24" s="87" t="s">
        <v>436</v>
      </c>
      <c r="D24" s="88">
        <v>429554051000</v>
      </c>
      <c r="E24" s="173">
        <f>'Rkp Agustus'!H24</f>
        <v>320353736138</v>
      </c>
      <c r="F24" s="88">
        <f>'Realisasi Sept'!F293</f>
        <v>35796170000</v>
      </c>
      <c r="G24" s="173">
        <f t="shared" ref="G24:G26" si="8">E24+F24</f>
        <v>356149906138</v>
      </c>
      <c r="H24" s="248">
        <f t="shared" si="2"/>
        <v>0.8291154636043695</v>
      </c>
    </row>
    <row r="25" spans="1:13" ht="20.25" customHeight="1" x14ac:dyDescent="0.25">
      <c r="A25" s="85" t="s">
        <v>86</v>
      </c>
      <c r="B25" s="86" t="s">
        <v>370</v>
      </c>
      <c r="C25" s="87" t="s">
        <v>437</v>
      </c>
      <c r="D25" s="88">
        <f>'Realisasi Sept'!D295</f>
        <v>62721068973</v>
      </c>
      <c r="E25" s="173">
        <f>'Rkp Agustus'!H25</f>
        <v>36835812351</v>
      </c>
      <c r="F25" s="88">
        <f>'Realisasi Sept'!F295</f>
        <v>5546295528</v>
      </c>
      <c r="G25" s="173">
        <f>E25+F25</f>
        <v>42382107879</v>
      </c>
      <c r="H25" s="248">
        <f t="shared" si="2"/>
        <v>0.67572362163094735</v>
      </c>
      <c r="K25" s="271"/>
    </row>
    <row r="26" spans="1:13" ht="20.25" customHeight="1" x14ac:dyDescent="0.25">
      <c r="A26" s="91" t="s">
        <v>95</v>
      </c>
      <c r="B26" s="153" t="s">
        <v>384</v>
      </c>
      <c r="C26" s="154" t="s">
        <v>438</v>
      </c>
      <c r="D26" s="174">
        <f>'Realisasi Sept'!D365</f>
        <v>119754141780</v>
      </c>
      <c r="E26" s="173">
        <f>'Rkp Agustus'!H26</f>
        <v>33587786067</v>
      </c>
      <c r="F26" s="174">
        <f>'Realisasi Sept'!F365</f>
        <v>0</v>
      </c>
      <c r="G26" s="173">
        <f t="shared" si="8"/>
        <v>33587786067</v>
      </c>
      <c r="H26" s="245">
        <f t="shared" si="2"/>
        <v>0.28047285519948051</v>
      </c>
    </row>
    <row r="27" spans="1:13" ht="15" x14ac:dyDescent="0.25">
      <c r="A27" s="160" t="s">
        <v>91</v>
      </c>
      <c r="B27" s="161" t="s">
        <v>396</v>
      </c>
      <c r="C27" s="162" t="s">
        <v>439</v>
      </c>
      <c r="D27" s="163">
        <v>0</v>
      </c>
      <c r="E27" s="163">
        <f>'Rkp April'!G27</f>
        <v>0</v>
      </c>
      <c r="F27" s="163">
        <f>'Realisasi Sept'!F410</f>
        <v>8863324000</v>
      </c>
      <c r="G27" s="163">
        <f>E27+F27</f>
        <v>8863324000</v>
      </c>
      <c r="H27" s="391" t="e">
        <f t="shared" si="2"/>
        <v>#DIV/0!</v>
      </c>
    </row>
    <row r="28" spans="1:13" ht="20.25" customHeight="1" x14ac:dyDescent="0.25">
      <c r="A28" s="156" t="s">
        <v>440</v>
      </c>
      <c r="B28" s="157" t="s">
        <v>398</v>
      </c>
      <c r="C28" s="158" t="s">
        <v>399</v>
      </c>
      <c r="D28" s="159">
        <f>SUM(D29:D30)</f>
        <v>145504655888.33002</v>
      </c>
      <c r="E28" s="159">
        <f t="shared" ref="E28:F28" si="9">SUM(E29:E30)</f>
        <v>73736868431</v>
      </c>
      <c r="F28" s="159">
        <f t="shared" si="9"/>
        <v>0</v>
      </c>
      <c r="G28" s="159">
        <f>E28+F28</f>
        <v>73736868431</v>
      </c>
      <c r="H28" s="246">
        <f t="shared" si="2"/>
        <v>0.50676638476496993</v>
      </c>
    </row>
    <row r="29" spans="1:13" ht="20.25" customHeight="1" x14ac:dyDescent="0.25">
      <c r="A29" s="323" t="s">
        <v>89</v>
      </c>
      <c r="B29" s="147" t="s">
        <v>400</v>
      </c>
      <c r="C29" s="148" t="s">
        <v>403</v>
      </c>
      <c r="D29" s="173">
        <v>135038655888.33</v>
      </c>
      <c r="E29" s="173">
        <f>'Rkp Agustus'!H29</f>
        <v>68120868431</v>
      </c>
      <c r="F29" s="173">
        <f>'Realisasi Sept'!F418</f>
        <v>0</v>
      </c>
      <c r="G29" s="173">
        <f>E29+F29</f>
        <v>68120868431</v>
      </c>
      <c r="H29" s="244">
        <f t="shared" si="2"/>
        <v>0.50445457993400378</v>
      </c>
    </row>
    <row r="30" spans="1:13" ht="20.25" customHeight="1" x14ac:dyDescent="0.25">
      <c r="A30" s="91" t="s">
        <v>91</v>
      </c>
      <c r="B30" s="153" t="s">
        <v>425</v>
      </c>
      <c r="C30" s="154" t="s">
        <v>427</v>
      </c>
      <c r="D30" s="174">
        <v>10466000000</v>
      </c>
      <c r="E30" s="173">
        <f>'Rkp Agustus'!H30</f>
        <v>5616000000</v>
      </c>
      <c r="F30" s="174">
        <f>'Realisasi Sept'!F431</f>
        <v>0</v>
      </c>
      <c r="G30" s="173">
        <f>E30+F30</f>
        <v>5616000000</v>
      </c>
      <c r="H30" s="244">
        <f t="shared" si="2"/>
        <v>0.53659468755971718</v>
      </c>
    </row>
    <row r="31" spans="1:13" ht="20.25" customHeight="1" x14ac:dyDescent="0.25">
      <c r="A31" s="149" t="s">
        <v>241</v>
      </c>
      <c r="B31" s="150" t="s">
        <v>242</v>
      </c>
      <c r="C31" s="151" t="s">
        <v>243</v>
      </c>
      <c r="D31" s="155">
        <f t="shared" ref="D31:G33" si="10">D32</f>
        <v>0</v>
      </c>
      <c r="E31" s="155">
        <f t="shared" si="10"/>
        <v>0</v>
      </c>
      <c r="F31" s="155">
        <f t="shared" si="10"/>
        <v>0</v>
      </c>
      <c r="G31" s="155">
        <f t="shared" si="10"/>
        <v>0</v>
      </c>
      <c r="H31" s="392" t="e">
        <f t="shared" si="2"/>
        <v>#DIV/0!</v>
      </c>
    </row>
    <row r="32" spans="1:13" ht="34.5" customHeight="1" x14ac:dyDescent="0.25">
      <c r="A32" s="84"/>
      <c r="B32" s="147" t="s">
        <v>418</v>
      </c>
      <c r="C32" s="250" t="s">
        <v>441</v>
      </c>
      <c r="D32" s="258">
        <f>D33</f>
        <v>0</v>
      </c>
      <c r="E32" s="173"/>
      <c r="F32" s="173">
        <f>F33</f>
        <v>0</v>
      </c>
      <c r="G32" s="173">
        <f>E32+F32</f>
        <v>0</v>
      </c>
      <c r="H32" s="393" t="e">
        <f t="shared" si="2"/>
        <v>#DIV/0!</v>
      </c>
    </row>
    <row r="33" spans="1:10" ht="20.25" customHeight="1" x14ac:dyDescent="0.25">
      <c r="A33" s="85"/>
      <c r="B33" s="86" t="s">
        <v>420</v>
      </c>
      <c r="C33" s="87" t="s">
        <v>442</v>
      </c>
      <c r="D33" s="260">
        <f t="shared" si="10"/>
        <v>0</v>
      </c>
      <c r="E33" s="173"/>
      <c r="F33" s="88">
        <f>'Realisasi Agustus'!G452</f>
        <v>0</v>
      </c>
      <c r="G33" s="173">
        <f t="shared" ref="G33" si="11">E33+F33</f>
        <v>0</v>
      </c>
      <c r="H33" s="394" t="e">
        <f t="shared" si="2"/>
        <v>#DIV/0!</v>
      </c>
    </row>
    <row r="34" spans="1:10" ht="20.25" customHeight="1" x14ac:dyDescent="0.25">
      <c r="A34" s="91" t="s">
        <v>89</v>
      </c>
      <c r="B34" s="86" t="s">
        <v>422</v>
      </c>
      <c r="C34" s="87" t="s">
        <v>423</v>
      </c>
      <c r="D34" s="164">
        <v>0</v>
      </c>
      <c r="E34" s="173">
        <f>'Rkp Agustus'!H34</f>
        <v>0</v>
      </c>
      <c r="F34" s="174">
        <f>'Realisasi Sept'!F444</f>
        <v>0</v>
      </c>
      <c r="G34" s="173">
        <f>F34</f>
        <v>0</v>
      </c>
      <c r="H34" s="286" t="e">
        <f t="shared" si="2"/>
        <v>#DIV/0!</v>
      </c>
    </row>
    <row r="35" spans="1:10" ht="20.25" customHeight="1" thickBot="1" x14ac:dyDescent="0.3">
      <c r="A35" s="91" t="s">
        <v>91</v>
      </c>
      <c r="B35" s="86" t="s">
        <v>618</v>
      </c>
      <c r="C35" s="87" t="s">
        <v>620</v>
      </c>
      <c r="D35" s="164">
        <v>0</v>
      </c>
      <c r="E35" s="173">
        <f>'Rkp Agustus'!H35</f>
        <v>0</v>
      </c>
      <c r="F35" s="174">
        <f>'Realisasi Sept'!F458</f>
        <v>0</v>
      </c>
      <c r="G35" s="173">
        <f>F35</f>
        <v>0</v>
      </c>
      <c r="H35" s="286" t="e">
        <f t="shared" si="2"/>
        <v>#DIV/0!</v>
      </c>
    </row>
    <row r="36" spans="1:10" s="82" customFormat="1" ht="21.75" customHeight="1" thickBot="1" x14ac:dyDescent="0.3">
      <c r="A36" s="143"/>
      <c r="B36" s="144"/>
      <c r="C36" s="145" t="s">
        <v>472</v>
      </c>
      <c r="D36" s="146">
        <f>SUM(D12+D20+D31)</f>
        <v>1363482538886.3301</v>
      </c>
      <c r="E36" s="146">
        <f t="shared" ref="E36:G36" si="12">SUM(E12+E20+E31)</f>
        <v>878798204140.13</v>
      </c>
      <c r="F36" s="146">
        <f t="shared" si="12"/>
        <v>93240496308.75</v>
      </c>
      <c r="G36" s="146">
        <f t="shared" si="12"/>
        <v>972038700448.88</v>
      </c>
      <c r="H36" s="249">
        <f>G36/D36</f>
        <v>0.71290879987566624</v>
      </c>
      <c r="I36" s="274"/>
      <c r="J36" s="274"/>
    </row>
    <row r="37" spans="1:10" ht="20.25" hidden="1" customHeight="1" x14ac:dyDescent="0.25">
      <c r="A37" s="92" t="s">
        <v>95</v>
      </c>
      <c r="B37" s="93" t="s">
        <v>46</v>
      </c>
      <c r="C37" s="94" t="s">
        <v>251</v>
      </c>
      <c r="D37" s="95">
        <v>102132456348.7</v>
      </c>
      <c r="E37" s="173"/>
      <c r="F37" s="88" t="e">
        <f>D37-#REF!</f>
        <v>#REF!</v>
      </c>
      <c r="G37" s="173"/>
      <c r="H37" s="96" t="e">
        <f>SUM(F37/#REF!)</f>
        <v>#REF!</v>
      </c>
    </row>
    <row r="38" spans="1:10" ht="20.25" hidden="1" customHeight="1" x14ac:dyDescent="0.25">
      <c r="A38" s="85"/>
      <c r="B38" s="97" t="s">
        <v>252</v>
      </c>
      <c r="C38" s="98" t="s">
        <v>253</v>
      </c>
      <c r="D38" s="88">
        <v>102132456348.7</v>
      </c>
      <c r="E38" s="88"/>
      <c r="F38" s="88" t="e">
        <f>D38-#REF!</f>
        <v>#REF!</v>
      </c>
      <c r="G38" s="88"/>
      <c r="H38" s="89" t="e">
        <f>SUM(F38/#REF!)</f>
        <v>#REF!</v>
      </c>
    </row>
    <row r="39" spans="1:10" ht="20.25" hidden="1" customHeight="1" x14ac:dyDescent="0.25">
      <c r="A39" s="85"/>
      <c r="B39" s="99" t="s">
        <v>254</v>
      </c>
      <c r="C39" s="100" t="s">
        <v>255</v>
      </c>
      <c r="D39" s="88">
        <v>95076456348.699997</v>
      </c>
      <c r="E39" s="88"/>
      <c r="F39" s="88" t="e">
        <f>D39-#REF!</f>
        <v>#REF!</v>
      </c>
      <c r="G39" s="88"/>
      <c r="H39" s="89" t="e">
        <f>SUM(F39/#REF!)</f>
        <v>#REF!</v>
      </c>
    </row>
    <row r="40" spans="1:10" ht="20.25" hidden="1" customHeight="1" x14ac:dyDescent="0.25">
      <c r="A40" s="85"/>
      <c r="B40" s="99" t="s">
        <v>256</v>
      </c>
      <c r="C40" s="100" t="s">
        <v>257</v>
      </c>
      <c r="D40" s="88">
        <v>7056000000</v>
      </c>
      <c r="E40" s="88"/>
      <c r="F40" s="88" t="e">
        <f>D40-#REF!</f>
        <v>#REF!</v>
      </c>
      <c r="G40" s="88"/>
      <c r="H40" s="89">
        <v>1</v>
      </c>
    </row>
    <row r="41" spans="1:10" ht="20.25" hidden="1" customHeight="1" x14ac:dyDescent="0.25">
      <c r="A41" s="101"/>
      <c r="B41" s="102" t="s">
        <v>258</v>
      </c>
      <c r="C41" s="103" t="s">
        <v>259</v>
      </c>
      <c r="D41" s="104">
        <v>7056000000</v>
      </c>
      <c r="E41" s="174"/>
      <c r="F41" s="88" t="e">
        <f>D41-#REF!</f>
        <v>#REF!</v>
      </c>
      <c r="G41" s="174"/>
      <c r="H41" s="105">
        <v>1</v>
      </c>
    </row>
    <row r="42" spans="1:10" ht="26.25" hidden="1" customHeight="1" x14ac:dyDescent="0.25">
      <c r="A42" s="450" t="s">
        <v>263</v>
      </c>
      <c r="B42" s="451"/>
      <c r="C42" s="451"/>
      <c r="D42" s="106">
        <f>SUM(D37+D36)</f>
        <v>1465614995235.03</v>
      </c>
      <c r="E42" s="106"/>
      <c r="F42" s="106" t="e">
        <f>SUM(F37+F36)</f>
        <v>#REF!</v>
      </c>
      <c r="G42" s="106"/>
      <c r="H42" s="107" t="e">
        <f>SUM(F42/#REF!)</f>
        <v>#REF!</v>
      </c>
    </row>
    <row r="43" spans="1:10" ht="26.25" customHeight="1" x14ac:dyDescent="0.25">
      <c r="A43" s="108"/>
      <c r="B43" s="198"/>
      <c r="C43" s="197"/>
      <c r="D43" s="110"/>
      <c r="E43" s="110"/>
      <c r="F43" s="110"/>
      <c r="G43" s="110"/>
      <c r="H43" s="111"/>
    </row>
    <row r="44" spans="1:10" ht="21" customHeight="1" x14ac:dyDescent="0.25">
      <c r="A44" s="342"/>
      <c r="B44" s="348"/>
      <c r="C44" s="109"/>
      <c r="D44" s="112"/>
      <c r="E44" s="112"/>
      <c r="F44" s="291"/>
      <c r="G44" s="291" t="s">
        <v>717</v>
      </c>
      <c r="H44" s="113"/>
    </row>
    <row r="45" spans="1:10" ht="18" x14ac:dyDescent="0.25">
      <c r="A45" s="342"/>
      <c r="B45" s="348"/>
      <c r="C45" s="109"/>
      <c r="D45" s="114"/>
      <c r="E45" s="114"/>
      <c r="F45" s="291"/>
      <c r="G45" s="291" t="s">
        <v>630</v>
      </c>
      <c r="H45" s="255"/>
    </row>
    <row r="46" spans="1:10" ht="21" customHeight="1" x14ac:dyDescent="0.25">
      <c r="B46" s="348"/>
      <c r="C46" s="109"/>
      <c r="D46" s="114"/>
      <c r="E46" s="114"/>
      <c r="F46" s="291"/>
      <c r="G46" s="291"/>
      <c r="H46" s="255"/>
    </row>
    <row r="47" spans="1:10" ht="15.75" customHeight="1" x14ac:dyDescent="0.25">
      <c r="B47" s="348"/>
      <c r="C47" s="109"/>
      <c r="D47" s="116"/>
      <c r="E47" s="116"/>
      <c r="F47" s="291"/>
      <c r="G47" s="291"/>
      <c r="H47" s="117"/>
    </row>
    <row r="48" spans="1:10" ht="15.75" customHeight="1" x14ac:dyDescent="0.25">
      <c r="B48" s="348"/>
      <c r="C48" s="109"/>
      <c r="D48" s="116"/>
      <c r="E48" s="116"/>
      <c r="F48" s="291"/>
      <c r="G48" s="291"/>
      <c r="H48" s="117"/>
    </row>
    <row r="49" spans="2:8" ht="15.75" customHeight="1" x14ac:dyDescent="0.25">
      <c r="B49" s="348"/>
      <c r="C49" s="109" t="s">
        <v>267</v>
      </c>
      <c r="D49" s="116"/>
      <c r="E49" s="116"/>
      <c r="F49" s="292"/>
      <c r="G49" s="292" t="s">
        <v>579</v>
      </c>
      <c r="H49" s="117"/>
    </row>
    <row r="50" spans="2:8" ht="15.75" customHeight="1" x14ac:dyDescent="0.25">
      <c r="B50" s="348"/>
      <c r="C50" s="109"/>
      <c r="D50" s="116"/>
      <c r="E50" s="116"/>
      <c r="F50" s="291"/>
      <c r="G50" s="291" t="s">
        <v>577</v>
      </c>
      <c r="H50" s="117"/>
    </row>
    <row r="51" spans="2:8" ht="22.5" customHeight="1" x14ac:dyDescent="0.25">
      <c r="C51" s="118"/>
      <c r="D51" s="119"/>
      <c r="E51" s="119"/>
      <c r="F51" s="291"/>
      <c r="G51" s="291" t="s">
        <v>576</v>
      </c>
      <c r="H51" s="120"/>
    </row>
    <row r="52" spans="2:8" ht="20.25" customHeight="1" x14ac:dyDescent="0.25">
      <c r="C52" s="118"/>
      <c r="D52" s="112"/>
      <c r="E52" s="112"/>
      <c r="F52" s="115"/>
      <c r="G52" s="115"/>
      <c r="H52" s="113"/>
    </row>
    <row r="53" spans="2:8" ht="13.15" customHeight="1" x14ac:dyDescent="0.25">
      <c r="C53" s="118"/>
      <c r="D53" s="112"/>
      <c r="E53" s="112"/>
      <c r="H53" s="113"/>
    </row>
    <row r="54" spans="2:8" ht="13.15" customHeight="1" x14ac:dyDescent="0.25">
      <c r="C54" s="118"/>
      <c r="D54" s="112"/>
      <c r="E54" s="112"/>
      <c r="F54" s="113"/>
      <c r="G54" s="113"/>
      <c r="H54" s="113"/>
    </row>
    <row r="55" spans="2:8" ht="13.15" customHeight="1" x14ac:dyDescent="0.25">
      <c r="C55" s="118"/>
      <c r="D55" s="112"/>
      <c r="E55" s="112"/>
      <c r="F55" s="113"/>
      <c r="G55" s="113"/>
      <c r="H55" s="113"/>
    </row>
    <row r="56" spans="2:8" ht="13.15" customHeight="1" x14ac:dyDescent="0.25">
      <c r="C56" s="118"/>
      <c r="D56" s="118"/>
      <c r="E56" s="118"/>
    </row>
    <row r="57" spans="2:8" ht="13.15" customHeight="1" x14ac:dyDescent="0.25">
      <c r="C57" s="118"/>
      <c r="D57" s="118"/>
      <c r="E57" s="118"/>
    </row>
    <row r="58" spans="2:8" ht="13.15" customHeight="1" x14ac:dyDescent="0.25">
      <c r="C58" s="118"/>
      <c r="D58" s="118"/>
      <c r="E58" s="118"/>
    </row>
    <row r="59" spans="2:8" ht="13.15" customHeight="1" x14ac:dyDescent="0.25">
      <c r="C59" s="118"/>
      <c r="D59" s="118"/>
      <c r="E59" s="118"/>
    </row>
    <row r="60" spans="2:8" ht="13.15" customHeight="1" x14ac:dyDescent="0.25">
      <c r="C60" s="118"/>
      <c r="D60" s="118"/>
      <c r="E60" s="118"/>
    </row>
    <row r="61" spans="2:8" ht="13.15" customHeight="1" x14ac:dyDescent="0.25">
      <c r="C61" s="118"/>
      <c r="D61" s="118"/>
      <c r="E61" s="118"/>
    </row>
    <row r="62" spans="2:8" ht="13.15" customHeight="1" x14ac:dyDescent="0.25">
      <c r="C62" s="118"/>
      <c r="D62" s="118"/>
      <c r="E62" s="118"/>
    </row>
  </sheetData>
  <mergeCells count="12">
    <mergeCell ref="F6:H6"/>
    <mergeCell ref="F7:H7"/>
    <mergeCell ref="A42:C42"/>
    <mergeCell ref="B2:D2"/>
    <mergeCell ref="B3:D3"/>
    <mergeCell ref="B4:D4"/>
    <mergeCell ref="B5:C5"/>
    <mergeCell ref="A8:A9"/>
    <mergeCell ref="B8:B9"/>
    <mergeCell ref="C8:C9"/>
    <mergeCell ref="E8:G8"/>
    <mergeCell ref="H8:H9"/>
  </mergeCells>
  <printOptions horizontalCentered="1"/>
  <pageMargins left="1.42" right="1.0236220472440944" top="0.54" bottom="0.27559055118110237" header="0.23622047244094491" footer="0.33"/>
  <pageSetup paperSize="5" scale="6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480"/>
  <sheetViews>
    <sheetView zoomScale="70" zoomScaleNormal="70" workbookViewId="0">
      <pane ySplit="9" topLeftCell="A122" activePane="bottomLeft" state="frozen"/>
      <selection activeCell="I30" sqref="I30"/>
      <selection pane="bottomLeft" activeCell="K129" sqref="K129"/>
    </sheetView>
  </sheetViews>
  <sheetFormatPr defaultColWidth="9.28515625" defaultRowHeight="18" x14ac:dyDescent="0.25"/>
  <cols>
    <col min="1" max="1" width="7" style="4" customWidth="1"/>
    <col min="2" max="2" width="25.140625" style="4" customWidth="1"/>
    <col min="3" max="3" width="82.7109375" style="4" customWidth="1"/>
    <col min="4" max="6" width="28.42578125" style="175" customWidth="1"/>
    <col min="7" max="7" width="30.7109375" style="175" customWidth="1"/>
    <col min="8" max="8" width="16" style="175" customWidth="1"/>
    <col min="9" max="9" width="56.42578125" style="4" hidden="1" customWidth="1"/>
    <col min="10" max="10" width="30.42578125" style="175" customWidth="1"/>
    <col min="11" max="11" width="31.28515625" style="4" customWidth="1"/>
    <col min="12" max="12" width="28.28515625" style="3" bestFit="1" customWidth="1"/>
    <col min="13" max="13" width="26.28515625" style="4" customWidth="1"/>
    <col min="14" max="16384" width="9.28515625" style="4"/>
  </cols>
  <sheetData>
    <row r="1" spans="1:15" x14ac:dyDescent="0.25">
      <c r="A1" s="1"/>
      <c r="B1" s="1"/>
      <c r="C1" s="2"/>
      <c r="I1" s="3"/>
    </row>
    <row r="2" spans="1:15" ht="25.5" x14ac:dyDescent="0.25">
      <c r="A2" s="1"/>
      <c r="B2" s="444" t="s">
        <v>0</v>
      </c>
      <c r="C2" s="444"/>
      <c r="E2" s="5" t="s">
        <v>486</v>
      </c>
      <c r="I2" s="1"/>
      <c r="K2" s="5"/>
    </row>
    <row r="3" spans="1:15" x14ac:dyDescent="0.25">
      <c r="A3" s="1"/>
      <c r="B3" s="445" t="s">
        <v>480</v>
      </c>
      <c r="C3" s="445"/>
      <c r="E3" s="5" t="s">
        <v>631</v>
      </c>
      <c r="K3" s="5"/>
    </row>
    <row r="4" spans="1:15" x14ac:dyDescent="0.25">
      <c r="A4" s="1"/>
      <c r="B4" s="446" t="s">
        <v>481</v>
      </c>
      <c r="C4" s="446"/>
      <c r="E4" s="6" t="s">
        <v>704</v>
      </c>
      <c r="K4" s="6"/>
    </row>
    <row r="5" spans="1:15" ht="19.5" x14ac:dyDescent="0.25">
      <c r="A5" s="1"/>
      <c r="B5" s="447"/>
      <c r="C5" s="447"/>
      <c r="I5" s="1"/>
    </row>
    <row r="6" spans="1:15" ht="18.75" thickBot="1" x14ac:dyDescent="0.3">
      <c r="A6" s="1"/>
      <c r="B6" s="387"/>
      <c r="C6" s="387"/>
      <c r="D6" s="8"/>
      <c r="E6" s="8"/>
      <c r="F6" s="448"/>
      <c r="G6" s="448"/>
      <c r="H6" s="448"/>
      <c r="I6" s="7"/>
    </row>
    <row r="7" spans="1:15" s="10" customFormat="1" ht="29.25" customHeight="1" x14ac:dyDescent="0.25">
      <c r="A7" s="435" t="s">
        <v>2</v>
      </c>
      <c r="B7" s="437" t="s">
        <v>3</v>
      </c>
      <c r="C7" s="437" t="s">
        <v>4</v>
      </c>
      <c r="D7" s="202" t="s">
        <v>5</v>
      </c>
      <c r="E7" s="441" t="s">
        <v>475</v>
      </c>
      <c r="F7" s="441"/>
      <c r="G7" s="441"/>
      <c r="H7" s="439" t="s">
        <v>6</v>
      </c>
      <c r="I7" s="442" t="s">
        <v>7</v>
      </c>
      <c r="J7" s="9"/>
      <c r="L7" s="399"/>
    </row>
    <row r="8" spans="1:15" s="10" customFormat="1" ht="29.25" customHeight="1" thickBot="1" x14ac:dyDescent="0.3">
      <c r="A8" s="436"/>
      <c r="B8" s="438"/>
      <c r="C8" s="438"/>
      <c r="D8" s="203" t="s">
        <v>697</v>
      </c>
      <c r="E8" s="204" t="s">
        <v>476</v>
      </c>
      <c r="F8" s="204" t="s">
        <v>477</v>
      </c>
      <c r="G8" s="204" t="s">
        <v>478</v>
      </c>
      <c r="H8" s="440"/>
      <c r="I8" s="443"/>
      <c r="J8" s="9"/>
      <c r="L8" s="399"/>
    </row>
    <row r="9" spans="1:15" s="16" customFormat="1" ht="14.65" customHeight="1" x14ac:dyDescent="0.25">
      <c r="A9" s="11">
        <v>1</v>
      </c>
      <c r="B9" s="12">
        <v>2</v>
      </c>
      <c r="C9" s="13">
        <v>3</v>
      </c>
      <c r="D9" s="14">
        <v>4</v>
      </c>
      <c r="E9" s="14">
        <v>5</v>
      </c>
      <c r="F9" s="14">
        <v>6</v>
      </c>
      <c r="G9" s="15" t="s">
        <v>582</v>
      </c>
      <c r="H9" s="235" t="s">
        <v>583</v>
      </c>
      <c r="I9" s="205">
        <v>9</v>
      </c>
      <c r="J9" s="7"/>
      <c r="L9" s="400"/>
    </row>
    <row r="10" spans="1:15" x14ac:dyDescent="0.25">
      <c r="A10" s="17"/>
      <c r="B10" s="18"/>
      <c r="C10" s="19"/>
      <c r="D10" s="20"/>
      <c r="E10" s="20"/>
      <c r="F10" s="20"/>
      <c r="G10" s="20"/>
      <c r="H10" s="21"/>
      <c r="I10" s="206"/>
    </row>
    <row r="11" spans="1:15" s="176" customFormat="1" ht="25.5" customHeight="1" x14ac:dyDescent="0.25">
      <c r="A11" s="169"/>
      <c r="B11" s="167" t="s">
        <v>8</v>
      </c>
      <c r="C11" s="185" t="s">
        <v>9</v>
      </c>
      <c r="D11" s="191">
        <f>SUM(D12+D232+D441)</f>
        <v>1383352224486.3301</v>
      </c>
      <c r="E11" s="191">
        <f>SUM(E12+E232+E441)</f>
        <v>972038700448.88</v>
      </c>
      <c r="F11" s="191">
        <f>SUM(F12+F232+F441)</f>
        <v>151317419765.84</v>
      </c>
      <c r="G11" s="191">
        <f>SUM(G12+G232+G441)</f>
        <v>1123356120214.72</v>
      </c>
      <c r="H11" s="236">
        <f>G11/D11</f>
        <v>0.81205357560461322</v>
      </c>
      <c r="I11" s="207"/>
      <c r="J11" s="3"/>
      <c r="K11" s="270"/>
      <c r="L11" s="3"/>
    </row>
    <row r="12" spans="1:15" s="176" customFormat="1" ht="27.75" customHeight="1" x14ac:dyDescent="0.25">
      <c r="A12" s="126" t="s">
        <v>10</v>
      </c>
      <c r="B12" s="127" t="s">
        <v>11</v>
      </c>
      <c r="C12" s="41" t="s">
        <v>12</v>
      </c>
      <c r="D12" s="42">
        <f>SUM(D13+D14+D102+D108)</f>
        <v>443574940245</v>
      </c>
      <c r="E12" s="42">
        <f>SUM(E13+E14+E102+E108)</f>
        <v>372042405043.88</v>
      </c>
      <c r="F12" s="42">
        <f>SUM(F13+F14+F102+F108)</f>
        <v>27443551880.84</v>
      </c>
      <c r="G12" s="42">
        <f>SUM(G13+G14+G102+G108)</f>
        <v>399485956924.71997</v>
      </c>
      <c r="H12" s="237">
        <f>G12/D12</f>
        <v>0.90060533334924575</v>
      </c>
      <c r="I12" s="208"/>
      <c r="J12" s="175"/>
      <c r="L12" s="3"/>
    </row>
    <row r="13" spans="1:15" s="176" customFormat="1" ht="25.5" customHeight="1" x14ac:dyDescent="0.25">
      <c r="A13" s="169" t="s">
        <v>13</v>
      </c>
      <c r="B13" s="167" t="s">
        <v>14</v>
      </c>
      <c r="C13" s="185" t="s">
        <v>15</v>
      </c>
      <c r="D13" s="191">
        <f>SUM(D17+D18+D19+D20+D21+D25+D22+D23+D26+D24+D27)</f>
        <v>222013986230</v>
      </c>
      <c r="E13" s="191">
        <f t="shared" ref="E13:G13" si="0">SUM(E17+E18+E19+E20+E21+E25+E22+E23+E26+E24+E27)</f>
        <v>201022397753.35999</v>
      </c>
      <c r="F13" s="191">
        <f>SUM(F17+F18+F19+F20+F21+F25+F22+F23+F26+F24+F27)</f>
        <v>9412338048</v>
      </c>
      <c r="G13" s="191">
        <f t="shared" si="0"/>
        <v>210434735801.35999</v>
      </c>
      <c r="H13" s="236">
        <f>G13/D13</f>
        <v>0.9478445001359318</v>
      </c>
      <c r="I13" s="209"/>
      <c r="J13" s="175"/>
      <c r="K13" s="270"/>
      <c r="L13" s="3"/>
    </row>
    <row r="14" spans="1:15" s="176" customFormat="1" ht="25.5" customHeight="1" x14ac:dyDescent="0.25">
      <c r="A14" s="169" t="s">
        <v>16</v>
      </c>
      <c r="B14" s="167" t="s">
        <v>17</v>
      </c>
      <c r="C14" s="185" t="s">
        <v>18</v>
      </c>
      <c r="D14" s="191">
        <f>SUM(D29+D53+D58+D64+D69+D76+D80+D85+D97+D93+D44)</f>
        <v>47985440000</v>
      </c>
      <c r="E14" s="191">
        <f t="shared" ref="E14:G14" si="1">SUM(E29+E53+E58+E64+E69+E76+E80+E85+E97+E93+E44)</f>
        <v>21571271524.169998</v>
      </c>
      <c r="F14" s="191">
        <f>SUM(F29+F53+F58+F64+F69+F76+F80+F85+F97+F93+F44)</f>
        <v>4770876324</v>
      </c>
      <c r="G14" s="191">
        <f t="shared" si="1"/>
        <v>26342147848.169998</v>
      </c>
      <c r="H14" s="236">
        <f>G14/D14</f>
        <v>0.54896126508728482</v>
      </c>
      <c r="I14" s="209"/>
      <c r="J14" s="294"/>
      <c r="K14" s="281"/>
      <c r="L14" s="401"/>
      <c r="M14" s="282"/>
      <c r="N14" s="282"/>
      <c r="O14" s="282"/>
    </row>
    <row r="15" spans="1:15" s="176" customFormat="1" x14ac:dyDescent="0.25">
      <c r="A15" s="169"/>
      <c r="B15" s="22"/>
      <c r="C15" s="185"/>
      <c r="D15" s="191"/>
      <c r="E15" s="191"/>
      <c r="F15" s="191"/>
      <c r="G15" s="191"/>
      <c r="H15" s="236"/>
      <c r="I15" s="209"/>
      <c r="J15" s="280"/>
      <c r="K15" s="282"/>
      <c r="L15" s="401"/>
      <c r="M15" s="282"/>
      <c r="N15" s="282"/>
      <c r="O15" s="282"/>
    </row>
    <row r="16" spans="1:15" s="187" customFormat="1" ht="22.5" customHeight="1" x14ac:dyDescent="0.25">
      <c r="A16" s="23" t="s">
        <v>19</v>
      </c>
      <c r="B16" s="46" t="s">
        <v>281</v>
      </c>
      <c r="C16" s="185" t="s">
        <v>1</v>
      </c>
      <c r="D16" s="196">
        <f>SUM(D17:D27)</f>
        <v>222013986230</v>
      </c>
      <c r="E16" s="196">
        <f>SUM(E17:E27)</f>
        <v>201022397753.35999</v>
      </c>
      <c r="F16" s="196">
        <f>SUM(F17:F27)</f>
        <v>9412338048</v>
      </c>
      <c r="G16" s="191">
        <f>SUM(G17:G27)</f>
        <v>210434735801.35999</v>
      </c>
      <c r="H16" s="236">
        <f t="shared" ref="H16:H27" si="2">G16/D16</f>
        <v>0.9478445001359318</v>
      </c>
      <c r="I16" s="210"/>
      <c r="J16" s="297"/>
      <c r="K16" s="298"/>
      <c r="L16" s="402"/>
      <c r="M16" s="279"/>
      <c r="N16" s="279"/>
      <c r="O16" s="279"/>
    </row>
    <row r="17" spans="1:15" s="176" customFormat="1" ht="18.75" customHeight="1" x14ac:dyDescent="0.25">
      <c r="A17" s="188"/>
      <c r="B17" s="177" t="s">
        <v>269</v>
      </c>
      <c r="C17" s="183" t="s">
        <v>20</v>
      </c>
      <c r="D17" s="192">
        <v>4550000000</v>
      </c>
      <c r="E17" s="192">
        <f>'Realisasi Sept'!G17</f>
        <v>3636128913</v>
      </c>
      <c r="F17" s="192">
        <v>462207907</v>
      </c>
      <c r="G17" s="192">
        <f>E17+F17</f>
        <v>4098336820</v>
      </c>
      <c r="H17" s="24">
        <f t="shared" si="2"/>
        <v>0.90073336703296702</v>
      </c>
      <c r="I17" s="211" t="s">
        <v>21</v>
      </c>
      <c r="J17" s="294"/>
      <c r="K17" s="296"/>
      <c r="L17" s="401"/>
      <c r="M17" s="282"/>
      <c r="N17" s="282"/>
      <c r="O17" s="282"/>
    </row>
    <row r="18" spans="1:15" s="176" customFormat="1" ht="18.75" customHeight="1" x14ac:dyDescent="0.25">
      <c r="A18" s="188"/>
      <c r="B18" s="177" t="s">
        <v>270</v>
      </c>
      <c r="C18" s="183" t="s">
        <v>22</v>
      </c>
      <c r="D18" s="192">
        <v>10000000000</v>
      </c>
      <c r="E18" s="192">
        <f>'Realisasi Sept'!G18</f>
        <v>8008138450</v>
      </c>
      <c r="F18" s="192">
        <v>960039269</v>
      </c>
      <c r="G18" s="192">
        <f t="shared" ref="G18:G27" si="3">E18+F18</f>
        <v>8968177719</v>
      </c>
      <c r="H18" s="24">
        <f t="shared" si="2"/>
        <v>0.8968177719</v>
      </c>
      <c r="I18" s="212" t="s">
        <v>23</v>
      </c>
      <c r="J18" s="294"/>
      <c r="K18" s="296"/>
      <c r="L18" s="401"/>
      <c r="M18" s="282" t="s">
        <v>629</v>
      </c>
      <c r="N18" s="282"/>
      <c r="O18" s="282"/>
    </row>
    <row r="19" spans="1:15" s="176" customFormat="1" ht="18.75" customHeight="1" x14ac:dyDescent="0.25">
      <c r="A19" s="188"/>
      <c r="B19" s="177" t="s">
        <v>271</v>
      </c>
      <c r="C19" s="183" t="s">
        <v>24</v>
      </c>
      <c r="D19" s="192">
        <v>1800000000</v>
      </c>
      <c r="E19" s="192">
        <f>'Realisasi Sept'!G19</f>
        <v>1456489863</v>
      </c>
      <c r="F19" s="192">
        <v>195107171</v>
      </c>
      <c r="G19" s="192">
        <f t="shared" si="3"/>
        <v>1651597034</v>
      </c>
      <c r="H19" s="24">
        <f t="shared" si="2"/>
        <v>0.91755390777777779</v>
      </c>
      <c r="I19" s="211" t="s">
        <v>25</v>
      </c>
      <c r="J19" s="294"/>
      <c r="K19" s="296"/>
      <c r="L19" s="401"/>
      <c r="M19" s="282"/>
      <c r="N19" s="282"/>
      <c r="O19" s="282"/>
    </row>
    <row r="20" spans="1:15" s="176" customFormat="1" ht="18.75" customHeight="1" x14ac:dyDescent="0.25">
      <c r="A20" s="188"/>
      <c r="B20" s="177" t="s">
        <v>272</v>
      </c>
      <c r="C20" s="183" t="s">
        <v>26</v>
      </c>
      <c r="D20" s="192">
        <v>2900000000</v>
      </c>
      <c r="E20" s="192">
        <f>'Realisasi Sept'!G20</f>
        <v>2250146652</v>
      </c>
      <c r="F20" s="192">
        <v>88298436</v>
      </c>
      <c r="G20" s="192">
        <f t="shared" si="3"/>
        <v>2338445088</v>
      </c>
      <c r="H20" s="24">
        <f t="shared" si="2"/>
        <v>0.80636037517241377</v>
      </c>
      <c r="I20" s="211" t="s">
        <v>27</v>
      </c>
      <c r="J20" s="294"/>
      <c r="K20" s="296"/>
      <c r="L20" s="401"/>
      <c r="M20" s="282"/>
      <c r="N20" s="282"/>
      <c r="O20" s="282"/>
    </row>
    <row r="21" spans="1:15" s="176" customFormat="1" ht="18.75" customHeight="1" x14ac:dyDescent="0.25">
      <c r="A21" s="188"/>
      <c r="B21" s="177" t="s">
        <v>676</v>
      </c>
      <c r="C21" s="183" t="s">
        <v>677</v>
      </c>
      <c r="D21" s="192">
        <v>51000000000</v>
      </c>
      <c r="E21" s="192">
        <f>'Realisasi Sept'!G21</f>
        <v>39630290188.360001</v>
      </c>
      <c r="F21" s="192">
        <f>3649028670+828771622</f>
        <v>4477800292</v>
      </c>
      <c r="G21" s="192">
        <f t="shared" si="3"/>
        <v>44108090480.360001</v>
      </c>
      <c r="H21" s="24">
        <f t="shared" si="2"/>
        <v>0.8648645192227451</v>
      </c>
      <c r="I21" s="211" t="s">
        <v>28</v>
      </c>
      <c r="J21" s="294"/>
      <c r="K21" s="296"/>
      <c r="L21" s="401"/>
      <c r="M21" s="282"/>
      <c r="N21" s="282"/>
      <c r="O21" s="282"/>
    </row>
    <row r="22" spans="1:15" s="176" customFormat="1" ht="18.75" customHeight="1" x14ac:dyDescent="0.25">
      <c r="A22" s="188"/>
      <c r="B22" s="177" t="s">
        <v>273</v>
      </c>
      <c r="C22" s="183" t="s">
        <v>31</v>
      </c>
      <c r="D22" s="192">
        <v>600000000</v>
      </c>
      <c r="E22" s="192">
        <f>'Realisasi Sept'!G22</f>
        <v>584002203</v>
      </c>
      <c r="F22" s="192">
        <f>60311100+95100</f>
        <v>60406200</v>
      </c>
      <c r="G22" s="192">
        <f t="shared" si="3"/>
        <v>644408403</v>
      </c>
      <c r="H22" s="24">
        <f t="shared" si="2"/>
        <v>1.074014005</v>
      </c>
      <c r="I22" s="213" t="s">
        <v>32</v>
      </c>
      <c r="J22" s="294"/>
      <c r="K22" s="296"/>
      <c r="L22" s="401"/>
      <c r="M22" s="282"/>
      <c r="N22" s="282"/>
      <c r="O22" s="282"/>
    </row>
    <row r="23" spans="1:15" s="176" customFormat="1" ht="18.75" customHeight="1" x14ac:dyDescent="0.25">
      <c r="A23" s="188"/>
      <c r="B23" s="177" t="s">
        <v>274</v>
      </c>
      <c r="C23" s="183" t="s">
        <v>33</v>
      </c>
      <c r="D23" s="192">
        <v>1100000000</v>
      </c>
      <c r="E23" s="192">
        <f>'Realisasi Sept'!G23</f>
        <v>817400343</v>
      </c>
      <c r="F23" s="192">
        <v>122251246</v>
      </c>
      <c r="G23" s="192">
        <f t="shared" si="3"/>
        <v>939651589</v>
      </c>
      <c r="H23" s="24">
        <f t="shared" si="2"/>
        <v>0.85422871727272731</v>
      </c>
      <c r="I23" s="213" t="s">
        <v>34</v>
      </c>
      <c r="J23" s="294"/>
      <c r="K23" s="296"/>
      <c r="L23" s="401"/>
      <c r="M23" s="282"/>
      <c r="N23" s="282"/>
      <c r="O23" s="282"/>
    </row>
    <row r="24" spans="1:15" s="176" customFormat="1" ht="18.75" customHeight="1" x14ac:dyDescent="0.25">
      <c r="A24" s="188"/>
      <c r="B24" s="177" t="s">
        <v>275</v>
      </c>
      <c r="C24" s="183" t="s">
        <v>35</v>
      </c>
      <c r="D24" s="192">
        <v>92000000</v>
      </c>
      <c r="E24" s="192">
        <f>'Realisasi Sept'!G24</f>
        <v>75474940</v>
      </c>
      <c r="F24" s="192">
        <v>16733700</v>
      </c>
      <c r="G24" s="192">
        <f t="shared" si="3"/>
        <v>92208640</v>
      </c>
      <c r="H24" s="24">
        <f t="shared" si="2"/>
        <v>1.0022678260869564</v>
      </c>
      <c r="I24" s="213" t="s">
        <v>36</v>
      </c>
      <c r="J24" s="294"/>
      <c r="K24" s="296"/>
      <c r="L24" s="401"/>
      <c r="M24" s="282"/>
      <c r="N24" s="282"/>
      <c r="O24" s="282"/>
    </row>
    <row r="25" spans="1:15" s="176" customFormat="1" ht="18.75" customHeight="1" x14ac:dyDescent="0.25">
      <c r="A25" s="188"/>
      <c r="B25" s="177" t="s">
        <v>276</v>
      </c>
      <c r="C25" s="183" t="s">
        <v>29</v>
      </c>
      <c r="D25" s="192">
        <v>0</v>
      </c>
      <c r="E25" s="192">
        <f>'Realisasi Sept'!G25</f>
        <v>0</v>
      </c>
      <c r="F25" s="192">
        <v>0</v>
      </c>
      <c r="G25" s="192">
        <f>E25+F25</f>
        <v>0</v>
      </c>
      <c r="H25" s="252" t="e">
        <f t="shared" si="2"/>
        <v>#DIV/0!</v>
      </c>
      <c r="I25" s="214" t="s">
        <v>30</v>
      </c>
      <c r="J25" s="294"/>
      <c r="K25" s="296"/>
      <c r="L25" s="403"/>
      <c r="M25" s="295"/>
      <c r="N25" s="282"/>
      <c r="O25" s="282"/>
    </row>
    <row r="26" spans="1:15" s="176" customFormat="1" ht="18.75" customHeight="1" x14ac:dyDescent="0.25">
      <c r="A26" s="188"/>
      <c r="B26" s="177" t="s">
        <v>277</v>
      </c>
      <c r="C26" s="171" t="s">
        <v>278</v>
      </c>
      <c r="D26" s="178">
        <v>130971986230</v>
      </c>
      <c r="E26" s="192">
        <f>'Realisasi Sept'!G26</f>
        <v>131845636784</v>
      </c>
      <c r="F26" s="178">
        <v>2396190854</v>
      </c>
      <c r="G26" s="192">
        <f t="shared" si="3"/>
        <v>134241827638</v>
      </c>
      <c r="H26" s="24">
        <f t="shared" si="2"/>
        <v>1.0249659602951873</v>
      </c>
      <c r="I26" s="213" t="s">
        <v>37</v>
      </c>
      <c r="J26" s="294"/>
      <c r="K26" s="296"/>
      <c r="L26" s="403"/>
      <c r="M26" s="295"/>
    </row>
    <row r="27" spans="1:15" s="176" customFormat="1" x14ac:dyDescent="0.25">
      <c r="A27" s="188"/>
      <c r="B27" s="177" t="s">
        <v>279</v>
      </c>
      <c r="C27" s="183" t="s">
        <v>38</v>
      </c>
      <c r="D27" s="178">
        <v>19000000000</v>
      </c>
      <c r="E27" s="192">
        <f>'Realisasi Sept'!G27</f>
        <v>12718689417</v>
      </c>
      <c r="F27" s="178">
        <v>633302973</v>
      </c>
      <c r="G27" s="192">
        <f t="shared" si="3"/>
        <v>13351992390</v>
      </c>
      <c r="H27" s="24">
        <f t="shared" si="2"/>
        <v>0.70273644157894732</v>
      </c>
      <c r="I27" s="215" t="s">
        <v>474</v>
      </c>
      <c r="J27" s="294"/>
      <c r="K27" s="296"/>
      <c r="L27" s="403"/>
      <c r="M27" s="295"/>
    </row>
    <row r="28" spans="1:15" s="176" customFormat="1" x14ac:dyDescent="0.25">
      <c r="A28" s="169"/>
      <c r="B28" s="22"/>
      <c r="C28" s="25"/>
      <c r="D28" s="191"/>
      <c r="E28" s="192"/>
      <c r="F28" s="191"/>
      <c r="G28" s="191"/>
      <c r="H28" s="236"/>
      <c r="I28" s="216"/>
      <c r="J28" s="294"/>
      <c r="K28" s="295"/>
      <c r="L28" s="3"/>
    </row>
    <row r="29" spans="1:15" s="187" customFormat="1" x14ac:dyDescent="0.25">
      <c r="A29" s="26" t="s">
        <v>39</v>
      </c>
      <c r="B29" s="22" t="s">
        <v>282</v>
      </c>
      <c r="C29" s="185" t="s">
        <v>40</v>
      </c>
      <c r="D29" s="196">
        <f>D30+D38</f>
        <v>1009950000</v>
      </c>
      <c r="E29" s="196">
        <f t="shared" ref="E29:G29" si="4">E30+E38</f>
        <v>516062000</v>
      </c>
      <c r="F29" s="196">
        <f t="shared" si="4"/>
        <v>57652000</v>
      </c>
      <c r="G29" s="196">
        <f t="shared" si="4"/>
        <v>573714000</v>
      </c>
      <c r="H29" s="236">
        <f t="shared" ref="H29:H39" si="5">G29/D29</f>
        <v>0.56806178523689288</v>
      </c>
      <c r="I29" s="216"/>
      <c r="J29" s="297"/>
      <c r="K29" s="298"/>
      <c r="L29" s="404"/>
    </row>
    <row r="30" spans="1:15" s="187" customFormat="1" x14ac:dyDescent="0.25">
      <c r="A30" s="26" t="s">
        <v>413</v>
      </c>
      <c r="B30" s="170" t="s">
        <v>288</v>
      </c>
      <c r="C30" s="185" t="s">
        <v>55</v>
      </c>
      <c r="D30" s="196">
        <f>D31+D41</f>
        <v>1000000000</v>
      </c>
      <c r="E30" s="196">
        <f t="shared" ref="E30:G30" si="6">E31+E41</f>
        <v>495062000</v>
      </c>
      <c r="F30" s="196">
        <f t="shared" si="6"/>
        <v>49652000</v>
      </c>
      <c r="G30" s="196">
        <f t="shared" si="6"/>
        <v>544714000</v>
      </c>
      <c r="H30" s="236">
        <f t="shared" si="5"/>
        <v>0.54471400000000003</v>
      </c>
      <c r="I30" s="216"/>
      <c r="J30" s="297"/>
      <c r="K30" s="298"/>
      <c r="L30" s="404"/>
    </row>
    <row r="31" spans="1:15" s="176" customFormat="1" x14ac:dyDescent="0.25">
      <c r="A31" s="188"/>
      <c r="B31" s="179" t="s">
        <v>488</v>
      </c>
      <c r="C31" s="185" t="s">
        <v>280</v>
      </c>
      <c r="D31" s="191">
        <f>SUM(D32:D35)</f>
        <v>750000000</v>
      </c>
      <c r="E31" s="191">
        <f t="shared" ref="E31:F31" si="7">SUM(E32:E35)</f>
        <v>295863000</v>
      </c>
      <c r="F31" s="191">
        <f t="shared" si="7"/>
        <v>30638000</v>
      </c>
      <c r="G31" s="191">
        <f>SUM(G32:G35)</f>
        <v>326501000</v>
      </c>
      <c r="H31" s="236">
        <f t="shared" si="5"/>
        <v>0.43533466666666665</v>
      </c>
      <c r="I31" s="207" t="s">
        <v>41</v>
      </c>
      <c r="J31" s="294"/>
      <c r="K31" s="295"/>
      <c r="L31" s="3"/>
    </row>
    <row r="32" spans="1:15" s="176" customFormat="1" x14ac:dyDescent="0.25">
      <c r="A32" s="188"/>
      <c r="B32" s="177" t="s">
        <v>489</v>
      </c>
      <c r="C32" s="183" t="s">
        <v>42</v>
      </c>
      <c r="D32" s="192">
        <v>220000000</v>
      </c>
      <c r="E32" s="192">
        <f>'Realisasi Sept'!G32</f>
        <v>57208000</v>
      </c>
      <c r="F32" s="192">
        <v>5253000</v>
      </c>
      <c r="G32" s="192">
        <f>E32+F32</f>
        <v>62461000</v>
      </c>
      <c r="H32" s="24">
        <f t="shared" si="5"/>
        <v>0.28391363636363637</v>
      </c>
      <c r="I32" s="207"/>
      <c r="J32" s="294"/>
      <c r="K32" s="295"/>
      <c r="L32" s="3"/>
    </row>
    <row r="33" spans="1:12" s="176" customFormat="1" x14ac:dyDescent="0.25">
      <c r="A33" s="188"/>
      <c r="B33" s="177" t="s">
        <v>490</v>
      </c>
      <c r="C33" s="183" t="s">
        <v>43</v>
      </c>
      <c r="D33" s="192">
        <v>494000000</v>
      </c>
      <c r="E33" s="192">
        <f>'Realisasi Sept'!G33</f>
        <v>191195000</v>
      </c>
      <c r="F33" s="192">
        <v>20255000</v>
      </c>
      <c r="G33" s="192">
        <f t="shared" ref="G33:G40" si="8">E33+F33</f>
        <v>211450000</v>
      </c>
      <c r="H33" s="24">
        <f t="shared" si="5"/>
        <v>0.42803643724696355</v>
      </c>
      <c r="I33" s="207"/>
      <c r="J33" s="175"/>
      <c r="L33" s="3"/>
    </row>
    <row r="34" spans="1:12" s="176" customFormat="1" x14ac:dyDescent="0.25">
      <c r="A34" s="188"/>
      <c r="B34" s="177" t="s">
        <v>491</v>
      </c>
      <c r="C34" s="183" t="s">
        <v>44</v>
      </c>
      <c r="D34" s="192">
        <v>36000000</v>
      </c>
      <c r="E34" s="192">
        <f>'Realisasi Sept'!G34</f>
        <v>47460000</v>
      </c>
      <c r="F34" s="192">
        <f>'[10]2022'!$G$91</f>
        <v>5130000</v>
      </c>
      <c r="G34" s="192">
        <f t="shared" si="8"/>
        <v>52590000</v>
      </c>
      <c r="H34" s="24">
        <f t="shared" si="5"/>
        <v>1.4608333333333334</v>
      </c>
      <c r="I34" s="207"/>
      <c r="J34" s="175"/>
      <c r="L34" s="3"/>
    </row>
    <row r="35" spans="1:12" s="176" customFormat="1" hidden="1" x14ac:dyDescent="0.25">
      <c r="A35" s="188"/>
      <c r="B35" s="177"/>
      <c r="C35" s="183" t="s">
        <v>45</v>
      </c>
      <c r="D35" s="192"/>
      <c r="E35" s="192"/>
      <c r="F35" s="192"/>
      <c r="G35" s="192">
        <f t="shared" si="8"/>
        <v>0</v>
      </c>
      <c r="H35" s="24" t="e">
        <f t="shared" si="5"/>
        <v>#DIV/0!</v>
      </c>
      <c r="I35" s="207"/>
      <c r="J35" s="175"/>
      <c r="L35" s="3"/>
    </row>
    <row r="36" spans="1:12" s="176" customFormat="1" x14ac:dyDescent="0.25">
      <c r="A36" s="188"/>
      <c r="B36" s="177"/>
      <c r="C36" s="183"/>
      <c r="D36" s="192"/>
      <c r="E36" s="192"/>
      <c r="F36" s="192"/>
      <c r="G36" s="192"/>
      <c r="H36" s="24"/>
      <c r="I36" s="207"/>
      <c r="J36" s="175"/>
      <c r="L36" s="3"/>
    </row>
    <row r="37" spans="1:12" s="176" customFormat="1" ht="15" customHeight="1" x14ac:dyDescent="0.25">
      <c r="A37" s="188"/>
      <c r="B37" s="177"/>
      <c r="C37" s="185" t="s">
        <v>60</v>
      </c>
      <c r="D37" s="192"/>
      <c r="E37" s="192"/>
      <c r="F37" s="192"/>
      <c r="G37" s="192"/>
      <c r="H37" s="24"/>
      <c r="I37" s="207"/>
      <c r="J37" s="175"/>
      <c r="L37" s="3"/>
    </row>
    <row r="38" spans="1:12" s="176" customFormat="1" ht="15" customHeight="1" x14ac:dyDescent="0.25">
      <c r="A38" s="188"/>
      <c r="B38" s="179" t="s">
        <v>305</v>
      </c>
      <c r="C38" s="385" t="s">
        <v>70</v>
      </c>
      <c r="D38" s="191">
        <f>D39</f>
        <v>9950000</v>
      </c>
      <c r="E38" s="191">
        <f t="shared" ref="E38:G38" si="9">E39</f>
        <v>21000000</v>
      </c>
      <c r="F38" s="191">
        <f t="shared" si="9"/>
        <v>8000000</v>
      </c>
      <c r="G38" s="191">
        <f t="shared" si="9"/>
        <v>29000000</v>
      </c>
      <c r="H38" s="236">
        <f t="shared" si="5"/>
        <v>2.9145728643216082</v>
      </c>
      <c r="I38" s="207"/>
      <c r="J38" s="175"/>
      <c r="L38" s="3"/>
    </row>
    <row r="39" spans="1:12" s="176" customFormat="1" ht="15" customHeight="1" x14ac:dyDescent="0.25">
      <c r="A39" s="188"/>
      <c r="B39" s="177" t="s">
        <v>511</v>
      </c>
      <c r="C39" s="166" t="s">
        <v>70</v>
      </c>
      <c r="D39" s="192">
        <v>9950000</v>
      </c>
      <c r="E39" s="192">
        <f>'Realisasi Sept'!G39</f>
        <v>21000000</v>
      </c>
      <c r="F39" s="192">
        <f>'[10]2022'!$G$95</f>
        <v>8000000</v>
      </c>
      <c r="G39" s="192">
        <f t="shared" si="8"/>
        <v>29000000</v>
      </c>
      <c r="H39" s="24">
        <f t="shared" si="5"/>
        <v>2.9145728643216082</v>
      </c>
      <c r="I39" s="207"/>
      <c r="J39" s="175"/>
      <c r="L39" s="3"/>
    </row>
    <row r="40" spans="1:12" s="176" customFormat="1" ht="15" customHeight="1" x14ac:dyDescent="0.25">
      <c r="A40" s="188"/>
      <c r="B40" s="177"/>
      <c r="C40" s="166"/>
      <c r="D40" s="192"/>
      <c r="E40" s="192"/>
      <c r="F40" s="192"/>
      <c r="G40" s="192">
        <f t="shared" si="8"/>
        <v>0</v>
      </c>
      <c r="H40" s="24"/>
      <c r="I40" s="207"/>
      <c r="J40" s="175"/>
      <c r="L40" s="3"/>
    </row>
    <row r="41" spans="1:12" s="187" customFormat="1" x14ac:dyDescent="0.25">
      <c r="A41" s="26" t="s">
        <v>414</v>
      </c>
      <c r="B41" s="170" t="s">
        <v>492</v>
      </c>
      <c r="C41" s="185" t="s">
        <v>494</v>
      </c>
      <c r="D41" s="196">
        <f>D42</f>
        <v>250000000</v>
      </c>
      <c r="E41" s="196">
        <f t="shared" ref="E41:G41" si="10">E42</f>
        <v>199199000</v>
      </c>
      <c r="F41" s="196">
        <f t="shared" si="10"/>
        <v>19014000</v>
      </c>
      <c r="G41" s="196">
        <f t="shared" si="10"/>
        <v>218213000</v>
      </c>
      <c r="H41" s="236">
        <f>G41/D41</f>
        <v>0.87285199999999996</v>
      </c>
      <c r="I41" s="216"/>
      <c r="J41" s="186"/>
      <c r="L41" s="404"/>
    </row>
    <row r="42" spans="1:12" s="176" customFormat="1" x14ac:dyDescent="0.25">
      <c r="A42" s="188"/>
      <c r="B42" s="177" t="s">
        <v>493</v>
      </c>
      <c r="C42" s="183" t="s">
        <v>724</v>
      </c>
      <c r="D42" s="192">
        <v>250000000</v>
      </c>
      <c r="E42" s="192">
        <f>'Realisasi Sept'!G42</f>
        <v>199199000</v>
      </c>
      <c r="F42" s="192">
        <v>19014000</v>
      </c>
      <c r="G42" s="181">
        <f>E42+F42</f>
        <v>218213000</v>
      </c>
      <c r="H42" s="24">
        <f>G42/D42</f>
        <v>0.87285199999999996</v>
      </c>
      <c r="I42" s="207" t="s">
        <v>41</v>
      </c>
      <c r="J42" s="175"/>
      <c r="L42" s="3"/>
    </row>
    <row r="43" spans="1:12" s="176" customFormat="1" ht="15" customHeight="1" x14ac:dyDescent="0.25">
      <c r="A43" s="188"/>
      <c r="B43" s="177"/>
      <c r="C43" s="166"/>
      <c r="D43" s="192"/>
      <c r="E43" s="192"/>
      <c r="F43" s="192"/>
      <c r="G43" s="192"/>
      <c r="H43" s="24"/>
      <c r="I43" s="207"/>
      <c r="J43" s="175"/>
      <c r="L43" s="3"/>
    </row>
    <row r="44" spans="1:12" s="176" customFormat="1" x14ac:dyDescent="0.25">
      <c r="A44" s="168" t="s">
        <v>46</v>
      </c>
      <c r="B44" s="22" t="s">
        <v>592</v>
      </c>
      <c r="C44" s="185" t="s">
        <v>594</v>
      </c>
      <c r="D44" s="196">
        <f>D45+D51</f>
        <v>15125050000</v>
      </c>
      <c r="E44" s="196">
        <f t="shared" ref="E44:G44" si="11">E45+E51</f>
        <v>3171894924.1700001</v>
      </c>
      <c r="F44" s="196">
        <f t="shared" si="11"/>
        <v>2036083124</v>
      </c>
      <c r="G44" s="196">
        <f t="shared" si="11"/>
        <v>5207978048.1700001</v>
      </c>
      <c r="H44" s="236">
        <f t="shared" ref="H44:H51" si="12">G44/D44</f>
        <v>0.34432798887739213</v>
      </c>
      <c r="I44" s="207"/>
      <c r="J44" s="175"/>
      <c r="L44" s="3"/>
    </row>
    <row r="45" spans="1:12" s="176" customFormat="1" x14ac:dyDescent="0.25">
      <c r="A45" s="188"/>
      <c r="B45" s="170" t="s">
        <v>285</v>
      </c>
      <c r="C45" s="185" t="s">
        <v>444</v>
      </c>
      <c r="D45" s="191">
        <f>D46</f>
        <v>135000000</v>
      </c>
      <c r="E45" s="191">
        <f t="shared" ref="E45:G45" si="13">E46</f>
        <v>130950000</v>
      </c>
      <c r="F45" s="191">
        <f t="shared" si="13"/>
        <v>10450000</v>
      </c>
      <c r="G45" s="191">
        <f t="shared" si="13"/>
        <v>141400000</v>
      </c>
      <c r="H45" s="236">
        <f t="shared" si="12"/>
        <v>1.0474074074074073</v>
      </c>
      <c r="I45" s="207"/>
      <c r="J45" s="175"/>
      <c r="L45" s="3"/>
    </row>
    <row r="46" spans="1:12" s="187" customFormat="1" x14ac:dyDescent="0.25">
      <c r="A46" s="169"/>
      <c r="B46" s="170" t="s">
        <v>284</v>
      </c>
      <c r="C46" s="185" t="s">
        <v>595</v>
      </c>
      <c r="D46" s="191">
        <f>SUM(D47)</f>
        <v>135000000</v>
      </c>
      <c r="E46" s="191">
        <f t="shared" ref="E46:G46" si="14">SUM(E47)</f>
        <v>130950000</v>
      </c>
      <c r="F46" s="191">
        <f t="shared" si="14"/>
        <v>10450000</v>
      </c>
      <c r="G46" s="191">
        <f t="shared" si="14"/>
        <v>141400000</v>
      </c>
      <c r="H46" s="236">
        <f t="shared" si="12"/>
        <v>1.0474074074074073</v>
      </c>
      <c r="I46" s="216"/>
      <c r="J46" s="186"/>
      <c r="L46" s="404"/>
    </row>
    <row r="47" spans="1:12" s="176" customFormat="1" x14ac:dyDescent="0.25">
      <c r="A47" s="188"/>
      <c r="B47" s="170" t="s">
        <v>593</v>
      </c>
      <c r="C47" s="185" t="s">
        <v>595</v>
      </c>
      <c r="D47" s="191">
        <f>SUM(D48:D49)</f>
        <v>135000000</v>
      </c>
      <c r="E47" s="191">
        <f t="shared" ref="E47:G47" si="15">SUM(E48:E49)</f>
        <v>130950000</v>
      </c>
      <c r="F47" s="191">
        <f t="shared" si="15"/>
        <v>10450000</v>
      </c>
      <c r="G47" s="191">
        <f t="shared" si="15"/>
        <v>141400000</v>
      </c>
      <c r="H47" s="236">
        <f t="shared" si="12"/>
        <v>1.0474074074074073</v>
      </c>
      <c r="I47" s="207" t="s">
        <v>47</v>
      </c>
      <c r="J47" s="175"/>
      <c r="L47" s="3"/>
    </row>
    <row r="48" spans="1:12" s="176" customFormat="1" x14ac:dyDescent="0.25">
      <c r="A48" s="188"/>
      <c r="B48" s="178"/>
      <c r="C48" s="193" t="s">
        <v>316</v>
      </c>
      <c r="D48" s="192">
        <v>5000000</v>
      </c>
      <c r="E48" s="192">
        <f>'Realisasi Sept'!G48</f>
        <v>1800000</v>
      </c>
      <c r="F48" s="192">
        <v>0</v>
      </c>
      <c r="G48" s="192">
        <f>E48+F48</f>
        <v>1800000</v>
      </c>
      <c r="H48" s="24">
        <f t="shared" si="12"/>
        <v>0.36</v>
      </c>
      <c r="I48" s="207"/>
      <c r="J48" s="175"/>
      <c r="L48" s="3"/>
    </row>
    <row r="49" spans="1:12" s="176" customFormat="1" x14ac:dyDescent="0.25">
      <c r="A49" s="188"/>
      <c r="B49" s="178"/>
      <c r="C49" s="193" t="s">
        <v>317</v>
      </c>
      <c r="D49" s="192">
        <v>130000000</v>
      </c>
      <c r="E49" s="192">
        <f>'Realisasi Sept'!G49</f>
        <v>129150000</v>
      </c>
      <c r="F49" s="192">
        <v>10450000</v>
      </c>
      <c r="G49" s="192">
        <f>E49+F49</f>
        <v>139600000</v>
      </c>
      <c r="H49" s="24">
        <f t="shared" si="12"/>
        <v>1.0738461538461539</v>
      </c>
      <c r="I49" s="207"/>
      <c r="J49" s="175"/>
      <c r="L49" s="3"/>
    </row>
    <row r="50" spans="1:12" s="176" customFormat="1" ht="15" customHeight="1" x14ac:dyDescent="0.25">
      <c r="A50" s="188"/>
      <c r="B50" s="177"/>
      <c r="C50" s="185" t="s">
        <v>60</v>
      </c>
      <c r="D50" s="192"/>
      <c r="E50" s="192"/>
      <c r="F50" s="192"/>
      <c r="G50" s="192"/>
      <c r="H50" s="24"/>
      <c r="I50" s="207"/>
      <c r="J50" s="175"/>
      <c r="L50" s="3"/>
    </row>
    <row r="51" spans="1:12" s="176" customFormat="1" ht="15" customHeight="1" x14ac:dyDescent="0.25">
      <c r="A51" s="188"/>
      <c r="B51" s="177"/>
      <c r="C51" s="395" t="s">
        <v>692</v>
      </c>
      <c r="D51" s="191">
        <v>14990050000</v>
      </c>
      <c r="E51" s="191">
        <f>'Realisasi Sept'!G51</f>
        <v>3040944924.1700001</v>
      </c>
      <c r="F51" s="191">
        <v>2025633124</v>
      </c>
      <c r="G51" s="191">
        <f>E51+F51</f>
        <v>5066578048.1700001</v>
      </c>
      <c r="H51" s="236">
        <f t="shared" si="12"/>
        <v>0.33799607394038045</v>
      </c>
      <c r="I51" s="207"/>
      <c r="J51" s="175"/>
      <c r="L51" s="3"/>
    </row>
    <row r="52" spans="1:12" s="176" customFormat="1" ht="15" customHeight="1" x14ac:dyDescent="0.25">
      <c r="A52" s="188"/>
      <c r="B52" s="177"/>
      <c r="C52" s="166"/>
      <c r="D52" s="192"/>
      <c r="E52" s="192"/>
      <c r="F52" s="192"/>
      <c r="G52" s="192"/>
      <c r="H52" s="24"/>
      <c r="I52" s="207"/>
      <c r="J52" s="175"/>
      <c r="L52" s="3"/>
    </row>
    <row r="53" spans="1:12" s="176" customFormat="1" x14ac:dyDescent="0.25">
      <c r="A53" s="168" t="s">
        <v>8</v>
      </c>
      <c r="B53" s="22" t="s">
        <v>283</v>
      </c>
      <c r="C53" s="185" t="s">
        <v>48</v>
      </c>
      <c r="D53" s="196">
        <f>SUM(D54)</f>
        <v>50000000</v>
      </c>
      <c r="E53" s="196">
        <f t="shared" ref="E53:G53" si="16">SUM(E54)</f>
        <v>22950000</v>
      </c>
      <c r="F53" s="196">
        <f t="shared" si="16"/>
        <v>1650000</v>
      </c>
      <c r="G53" s="196">
        <f t="shared" si="16"/>
        <v>24600000</v>
      </c>
      <c r="H53" s="236">
        <f>G53/D53</f>
        <v>0.49199999999999999</v>
      </c>
      <c r="I53" s="207"/>
      <c r="J53" s="175"/>
      <c r="L53" s="3"/>
    </row>
    <row r="54" spans="1:12" s="176" customFormat="1" x14ac:dyDescent="0.25">
      <c r="A54" s="188"/>
      <c r="B54" s="170" t="s">
        <v>285</v>
      </c>
      <c r="C54" s="185" t="s">
        <v>444</v>
      </c>
      <c r="D54" s="191">
        <f>D55</f>
        <v>50000000</v>
      </c>
      <c r="E54" s="191">
        <f t="shared" ref="E54:G54" si="17">E55</f>
        <v>22950000</v>
      </c>
      <c r="F54" s="191">
        <f t="shared" si="17"/>
        <v>1650000</v>
      </c>
      <c r="G54" s="191">
        <f t="shared" si="17"/>
        <v>24600000</v>
      </c>
      <c r="H54" s="236">
        <f>G54/D54</f>
        <v>0.49199999999999999</v>
      </c>
      <c r="I54" s="207"/>
      <c r="J54" s="175"/>
      <c r="L54" s="3"/>
    </row>
    <row r="55" spans="1:12" s="187" customFormat="1" x14ac:dyDescent="0.25">
      <c r="A55" s="169"/>
      <c r="B55" s="170" t="s">
        <v>284</v>
      </c>
      <c r="C55" s="185" t="s">
        <v>286</v>
      </c>
      <c r="D55" s="191">
        <f>SUM(D56)</f>
        <v>50000000</v>
      </c>
      <c r="E55" s="191">
        <f t="shared" ref="E55:G55" si="18">SUM(E56)</f>
        <v>22950000</v>
      </c>
      <c r="F55" s="191">
        <f t="shared" si="18"/>
        <v>1650000</v>
      </c>
      <c r="G55" s="191">
        <f t="shared" si="18"/>
        <v>24600000</v>
      </c>
      <c r="H55" s="236">
        <f>G55/D55</f>
        <v>0.49199999999999999</v>
      </c>
      <c r="I55" s="216"/>
      <c r="J55" s="186"/>
      <c r="L55" s="404"/>
    </row>
    <row r="56" spans="1:12" s="176" customFormat="1" x14ac:dyDescent="0.25">
      <c r="A56" s="188"/>
      <c r="B56" s="178" t="s">
        <v>496</v>
      </c>
      <c r="C56" s="183" t="s">
        <v>497</v>
      </c>
      <c r="D56" s="192">
        <v>50000000</v>
      </c>
      <c r="E56" s="192">
        <f>'Realisasi Sept'!G56</f>
        <v>22950000</v>
      </c>
      <c r="F56" s="192">
        <v>1650000</v>
      </c>
      <c r="G56" s="192">
        <f>E56+F56</f>
        <v>24600000</v>
      </c>
      <c r="H56" s="24">
        <f>G56/D56</f>
        <v>0.49199999999999999</v>
      </c>
      <c r="I56" s="207" t="s">
        <v>47</v>
      </c>
      <c r="J56" s="175"/>
      <c r="L56" s="3"/>
    </row>
    <row r="57" spans="1:12" s="176" customFormat="1" x14ac:dyDescent="0.25">
      <c r="A57" s="169"/>
      <c r="B57" s="22"/>
      <c r="C57" s="25"/>
      <c r="D57" s="192"/>
      <c r="E57" s="192"/>
      <c r="F57" s="192"/>
      <c r="G57" s="191"/>
      <c r="H57" s="236"/>
      <c r="I57" s="207"/>
      <c r="J57" s="175"/>
      <c r="L57" s="3"/>
    </row>
    <row r="58" spans="1:12" s="176" customFormat="1" x14ac:dyDescent="0.25">
      <c r="A58" s="168" t="s">
        <v>49</v>
      </c>
      <c r="B58" s="22" t="s">
        <v>287</v>
      </c>
      <c r="C58" s="185" t="s">
        <v>50</v>
      </c>
      <c r="D58" s="196">
        <f>D59</f>
        <v>750000000</v>
      </c>
      <c r="E58" s="196">
        <f t="shared" ref="E58:G60" si="19">E59</f>
        <v>516920000</v>
      </c>
      <c r="F58" s="196">
        <f t="shared" si="19"/>
        <v>29120000</v>
      </c>
      <c r="G58" s="196">
        <f t="shared" si="19"/>
        <v>546040000</v>
      </c>
      <c r="H58" s="236">
        <f>G58/D58</f>
        <v>0.72805333333333333</v>
      </c>
      <c r="I58" s="207"/>
      <c r="J58" s="175"/>
      <c r="L58" s="3"/>
    </row>
    <row r="59" spans="1:12" s="187" customFormat="1" x14ac:dyDescent="0.25">
      <c r="A59" s="169"/>
      <c r="B59" s="170" t="s">
        <v>288</v>
      </c>
      <c r="C59" s="185" t="s">
        <v>55</v>
      </c>
      <c r="D59" s="191">
        <f>D60</f>
        <v>750000000</v>
      </c>
      <c r="E59" s="191">
        <f t="shared" si="19"/>
        <v>516920000</v>
      </c>
      <c r="F59" s="191">
        <f t="shared" si="19"/>
        <v>29120000</v>
      </c>
      <c r="G59" s="191">
        <f t="shared" si="19"/>
        <v>546040000</v>
      </c>
      <c r="H59" s="236">
        <f>G59/D59</f>
        <v>0.72805333333333333</v>
      </c>
      <c r="I59" s="216" t="s">
        <v>52</v>
      </c>
      <c r="J59" s="186"/>
      <c r="L59" s="404"/>
    </row>
    <row r="60" spans="1:12" s="176" customFormat="1" x14ac:dyDescent="0.25">
      <c r="A60" s="188"/>
      <c r="B60" s="170" t="s">
        <v>499</v>
      </c>
      <c r="C60" s="185" t="s">
        <v>51</v>
      </c>
      <c r="D60" s="191">
        <f>D61</f>
        <v>750000000</v>
      </c>
      <c r="E60" s="191">
        <f t="shared" si="19"/>
        <v>516920000</v>
      </c>
      <c r="F60" s="191">
        <f t="shared" si="19"/>
        <v>29120000</v>
      </c>
      <c r="G60" s="191">
        <f t="shared" si="19"/>
        <v>546040000</v>
      </c>
      <c r="H60" s="236">
        <f>G60/D60</f>
        <v>0.72805333333333333</v>
      </c>
      <c r="I60" s="207"/>
      <c r="J60" s="175"/>
      <c r="L60" s="3"/>
    </row>
    <row r="61" spans="1:12" s="176" customFormat="1" x14ac:dyDescent="0.25">
      <c r="A61" s="188"/>
      <c r="B61" s="178" t="s">
        <v>498</v>
      </c>
      <c r="C61" s="183" t="s">
        <v>51</v>
      </c>
      <c r="D61" s="192">
        <v>750000000</v>
      </c>
      <c r="E61" s="192">
        <f>'Realisasi Sept'!G61</f>
        <v>516920000</v>
      </c>
      <c r="F61" s="192">
        <v>29120000</v>
      </c>
      <c r="G61" s="192">
        <f>E61+F61</f>
        <v>546040000</v>
      </c>
      <c r="H61" s="24">
        <f>G61/D61</f>
        <v>0.72805333333333333</v>
      </c>
      <c r="I61" s="207"/>
      <c r="J61" s="175"/>
      <c r="K61" s="270"/>
      <c r="L61" s="3"/>
    </row>
    <row r="62" spans="1:12" s="176" customFormat="1" x14ac:dyDescent="0.25">
      <c r="A62" s="169"/>
      <c r="B62" s="22"/>
      <c r="C62" s="25"/>
      <c r="D62" s="191"/>
      <c r="E62" s="191"/>
      <c r="F62" s="191"/>
      <c r="G62" s="191"/>
      <c r="H62" s="236"/>
      <c r="I62" s="217"/>
      <c r="J62" s="175"/>
      <c r="L62" s="3"/>
    </row>
    <row r="63" spans="1:12" s="176" customFormat="1" x14ac:dyDescent="0.25">
      <c r="A63" s="168" t="s">
        <v>53</v>
      </c>
      <c r="B63" s="22" t="s">
        <v>289</v>
      </c>
      <c r="C63" s="185" t="s">
        <v>54</v>
      </c>
      <c r="D63" s="196">
        <f>D64+D69+D76</f>
        <v>30000000000</v>
      </c>
      <c r="E63" s="196">
        <f t="shared" ref="E63:G63" si="20">E64+E69+E76</f>
        <v>17284017900</v>
      </c>
      <c r="F63" s="196">
        <f t="shared" si="20"/>
        <v>2395271200</v>
      </c>
      <c r="G63" s="196">
        <f t="shared" si="20"/>
        <v>19679289100</v>
      </c>
      <c r="H63" s="236">
        <f t="shared" ref="H63:H78" si="21">G63/D63</f>
        <v>0.65597630333333334</v>
      </c>
      <c r="I63" s="209"/>
      <c r="J63" s="175"/>
      <c r="L63" s="3"/>
    </row>
    <row r="64" spans="1:12" s="187" customFormat="1" x14ac:dyDescent="0.25">
      <c r="A64" s="169" t="s">
        <v>413</v>
      </c>
      <c r="B64" s="170" t="s">
        <v>288</v>
      </c>
      <c r="C64" s="185" t="s">
        <v>55</v>
      </c>
      <c r="D64" s="191">
        <f>D65+D67</f>
        <v>1829475000</v>
      </c>
      <c r="E64" s="191">
        <f t="shared" ref="E64:G64" si="22">E65+E67</f>
        <v>411867450</v>
      </c>
      <c r="F64" s="191">
        <f t="shared" si="22"/>
        <v>51370900</v>
      </c>
      <c r="G64" s="191">
        <f t="shared" si="22"/>
        <v>463238350</v>
      </c>
      <c r="H64" s="236">
        <f t="shared" si="21"/>
        <v>0.25320835212287679</v>
      </c>
      <c r="I64" s="207"/>
      <c r="J64" s="186"/>
      <c r="L64" s="404"/>
    </row>
    <row r="65" spans="1:12" s="187" customFormat="1" x14ac:dyDescent="0.25">
      <c r="A65" s="169"/>
      <c r="B65" s="170" t="s">
        <v>290</v>
      </c>
      <c r="C65" s="185" t="s">
        <v>56</v>
      </c>
      <c r="D65" s="191">
        <f>D66</f>
        <v>1000000000</v>
      </c>
      <c r="E65" s="191">
        <f t="shared" ref="E65:G65" si="23">E66</f>
        <v>296960000</v>
      </c>
      <c r="F65" s="191">
        <f t="shared" si="23"/>
        <v>30550000</v>
      </c>
      <c r="G65" s="191">
        <f t="shared" si="23"/>
        <v>327510000</v>
      </c>
      <c r="H65" s="236">
        <f t="shared" si="21"/>
        <v>0.32751000000000002</v>
      </c>
      <c r="I65" s="207"/>
      <c r="J65" s="186"/>
      <c r="L65" s="404"/>
    </row>
    <row r="66" spans="1:12" s="176" customFormat="1" x14ac:dyDescent="0.25">
      <c r="A66" s="188"/>
      <c r="B66" s="178" t="s">
        <v>500</v>
      </c>
      <c r="C66" s="183" t="s">
        <v>56</v>
      </c>
      <c r="D66" s="192">
        <v>1000000000</v>
      </c>
      <c r="E66" s="192">
        <f>'Realisasi Sept'!G66</f>
        <v>296960000</v>
      </c>
      <c r="F66" s="192">
        <v>30550000</v>
      </c>
      <c r="G66" s="192">
        <f>E66+F66</f>
        <v>327510000</v>
      </c>
      <c r="H66" s="24">
        <f t="shared" si="21"/>
        <v>0.32751000000000002</v>
      </c>
      <c r="I66" s="207" t="s">
        <v>57</v>
      </c>
      <c r="J66" s="175"/>
      <c r="L66" s="3"/>
    </row>
    <row r="67" spans="1:12" s="176" customFormat="1" x14ac:dyDescent="0.25">
      <c r="A67" s="188"/>
      <c r="B67" s="170" t="s">
        <v>291</v>
      </c>
      <c r="C67" s="185" t="s">
        <v>292</v>
      </c>
      <c r="D67" s="191">
        <f>D68</f>
        <v>829475000</v>
      </c>
      <c r="E67" s="191">
        <f>'Realisasi Sept'!G67</f>
        <v>114907450</v>
      </c>
      <c r="F67" s="191">
        <f t="shared" ref="F67:G67" si="24">F68</f>
        <v>20820900</v>
      </c>
      <c r="G67" s="191">
        <f t="shared" si="24"/>
        <v>135728350</v>
      </c>
      <c r="H67" s="236">
        <f t="shared" si="21"/>
        <v>0.16363163446758491</v>
      </c>
      <c r="I67" s="207"/>
      <c r="J67" s="175"/>
      <c r="L67" s="3"/>
    </row>
    <row r="68" spans="1:12" s="187" customFormat="1" ht="22.5" customHeight="1" x14ac:dyDescent="0.25">
      <c r="A68" s="169"/>
      <c r="B68" s="178" t="s">
        <v>501</v>
      </c>
      <c r="C68" s="183" t="s">
        <v>292</v>
      </c>
      <c r="D68" s="192">
        <v>829475000</v>
      </c>
      <c r="E68" s="192">
        <f>'Realisasi Sept'!G68</f>
        <v>114907450</v>
      </c>
      <c r="F68" s="192">
        <v>20820900</v>
      </c>
      <c r="G68" s="192">
        <f>E68+F68</f>
        <v>135728350</v>
      </c>
      <c r="H68" s="24">
        <f t="shared" si="21"/>
        <v>0.16363163446758491</v>
      </c>
      <c r="I68" s="207" t="s">
        <v>58</v>
      </c>
      <c r="J68" s="186"/>
      <c r="L68" s="404"/>
    </row>
    <row r="69" spans="1:12" s="176" customFormat="1" x14ac:dyDescent="0.25">
      <c r="A69" s="169" t="s">
        <v>414</v>
      </c>
      <c r="B69" s="170" t="s">
        <v>285</v>
      </c>
      <c r="C69" s="185" t="s">
        <v>444</v>
      </c>
      <c r="D69" s="191">
        <f>D70+D72+D74</f>
        <v>28168525000</v>
      </c>
      <c r="E69" s="191">
        <f>'Realisasi Sept'!G69</f>
        <v>16872100450</v>
      </c>
      <c r="F69" s="191">
        <f t="shared" ref="F69:G69" si="25">F70+F72+F74</f>
        <v>2343900300</v>
      </c>
      <c r="G69" s="191">
        <f t="shared" si="25"/>
        <v>19216000750</v>
      </c>
      <c r="H69" s="236">
        <f t="shared" si="21"/>
        <v>0.68217987097300981</v>
      </c>
      <c r="I69" s="207" t="s">
        <v>59</v>
      </c>
      <c r="J69" s="175"/>
      <c r="L69" s="3"/>
    </row>
    <row r="70" spans="1:12" s="176" customFormat="1" x14ac:dyDescent="0.25">
      <c r="A70" s="169"/>
      <c r="B70" s="170" t="s">
        <v>293</v>
      </c>
      <c r="C70" s="185" t="s">
        <v>502</v>
      </c>
      <c r="D70" s="191">
        <f>D71</f>
        <v>74722500</v>
      </c>
      <c r="E70" s="191">
        <f>'Realisasi Sept'!G70</f>
        <v>97102000</v>
      </c>
      <c r="F70" s="191">
        <f t="shared" ref="F70:G70" si="26">F71</f>
        <v>10840000</v>
      </c>
      <c r="G70" s="191">
        <f t="shared" si="26"/>
        <v>107942000</v>
      </c>
      <c r="H70" s="236">
        <f t="shared" si="21"/>
        <v>1.4445715815182842</v>
      </c>
      <c r="I70" s="207"/>
      <c r="J70" s="175"/>
      <c r="L70" s="3"/>
    </row>
    <row r="71" spans="1:12" s="176" customFormat="1" x14ac:dyDescent="0.25">
      <c r="A71" s="188"/>
      <c r="B71" s="178" t="s">
        <v>503</v>
      </c>
      <c r="C71" s="183" t="s">
        <v>504</v>
      </c>
      <c r="D71" s="192">
        <v>74722500</v>
      </c>
      <c r="E71" s="192">
        <f>'Realisasi Sept'!G71</f>
        <v>97102000</v>
      </c>
      <c r="F71" s="192">
        <v>10840000</v>
      </c>
      <c r="G71" s="192">
        <f>E71+F71</f>
        <v>107942000</v>
      </c>
      <c r="H71" s="24">
        <f t="shared" si="21"/>
        <v>1.4445715815182842</v>
      </c>
      <c r="I71" s="207"/>
      <c r="J71" s="175"/>
      <c r="L71" s="3"/>
    </row>
    <row r="72" spans="1:12" s="176" customFormat="1" x14ac:dyDescent="0.25">
      <c r="A72" s="169"/>
      <c r="B72" s="170" t="s">
        <v>294</v>
      </c>
      <c r="C72" s="185" t="s">
        <v>295</v>
      </c>
      <c r="D72" s="191">
        <f>D73</f>
        <v>27808802500</v>
      </c>
      <c r="E72" s="191">
        <f>'Realisasi Sept'!G72</f>
        <v>16694121600</v>
      </c>
      <c r="F72" s="191">
        <f t="shared" ref="F72:G72" si="27">F73</f>
        <v>2317827700</v>
      </c>
      <c r="G72" s="191">
        <f t="shared" si="27"/>
        <v>19011949300</v>
      </c>
      <c r="H72" s="236">
        <f t="shared" si="21"/>
        <v>0.68366659441736122</v>
      </c>
      <c r="I72" s="218"/>
      <c r="J72" s="175"/>
      <c r="L72" s="3"/>
    </row>
    <row r="73" spans="1:12" s="176" customFormat="1" x14ac:dyDescent="0.25">
      <c r="A73" s="188"/>
      <c r="B73" s="178" t="s">
        <v>505</v>
      </c>
      <c r="C73" s="183" t="s">
        <v>295</v>
      </c>
      <c r="D73" s="192">
        <v>27808802500</v>
      </c>
      <c r="E73" s="192">
        <f>'Realisasi Sept'!G73</f>
        <v>16694121600</v>
      </c>
      <c r="F73" s="192">
        <v>2317827700</v>
      </c>
      <c r="G73" s="192">
        <f>E73+F73</f>
        <v>19011949300</v>
      </c>
      <c r="H73" s="24">
        <f t="shared" si="21"/>
        <v>0.68366659441736122</v>
      </c>
      <c r="I73" s="218"/>
      <c r="J73" s="175"/>
      <c r="L73" s="3"/>
    </row>
    <row r="74" spans="1:12" s="176" customFormat="1" x14ac:dyDescent="0.25">
      <c r="A74" s="188"/>
      <c r="B74" s="170" t="s">
        <v>296</v>
      </c>
      <c r="C74" s="185" t="s">
        <v>297</v>
      </c>
      <c r="D74" s="191">
        <f>SUM(D75)</f>
        <v>285000000</v>
      </c>
      <c r="E74" s="191">
        <f>'Realisasi Sept'!G74</f>
        <v>80876850</v>
      </c>
      <c r="F74" s="191">
        <f t="shared" ref="F74:G74" si="28">SUM(F75)</f>
        <v>15232600</v>
      </c>
      <c r="G74" s="191">
        <f t="shared" si="28"/>
        <v>96109450</v>
      </c>
      <c r="H74" s="24">
        <f t="shared" si="21"/>
        <v>0.33722614035087717</v>
      </c>
      <c r="I74" s="218"/>
      <c r="J74" s="175"/>
      <c r="L74" s="3"/>
    </row>
    <row r="75" spans="1:12" s="176" customFormat="1" x14ac:dyDescent="0.25">
      <c r="A75" s="188"/>
      <c r="B75" s="178" t="s">
        <v>506</v>
      </c>
      <c r="C75" s="183" t="s">
        <v>297</v>
      </c>
      <c r="D75" s="192">
        <v>285000000</v>
      </c>
      <c r="E75" s="192">
        <f>'Realisasi Sept'!G75</f>
        <v>80876850</v>
      </c>
      <c r="F75" s="192">
        <v>15232600</v>
      </c>
      <c r="G75" s="192">
        <f>E75+F75</f>
        <v>96109450</v>
      </c>
      <c r="H75" s="24">
        <f t="shared" si="21"/>
        <v>0.33722614035087717</v>
      </c>
      <c r="I75" s="218"/>
      <c r="J75" s="175"/>
      <c r="L75" s="3"/>
    </row>
    <row r="76" spans="1:12" s="176" customFormat="1" x14ac:dyDescent="0.25">
      <c r="A76" s="169" t="s">
        <v>415</v>
      </c>
      <c r="B76" s="170" t="s">
        <v>298</v>
      </c>
      <c r="C76" s="185" t="s">
        <v>60</v>
      </c>
      <c r="D76" s="191">
        <f>SUM(D77)</f>
        <v>2000000</v>
      </c>
      <c r="E76" s="191">
        <f>'Realisasi Sept'!G76</f>
        <v>50000</v>
      </c>
      <c r="F76" s="191">
        <f t="shared" ref="F76:G76" si="29">SUM(F77)</f>
        <v>0</v>
      </c>
      <c r="G76" s="191">
        <f t="shared" si="29"/>
        <v>50000</v>
      </c>
      <c r="H76" s="236">
        <f t="shared" si="21"/>
        <v>2.5000000000000001E-2</v>
      </c>
      <c r="I76" s="207" t="s">
        <v>61</v>
      </c>
      <c r="J76" s="175"/>
      <c r="L76" s="3"/>
    </row>
    <row r="77" spans="1:12" s="187" customFormat="1" x14ac:dyDescent="0.25">
      <c r="A77" s="169"/>
      <c r="B77" s="170" t="s">
        <v>299</v>
      </c>
      <c r="C77" s="185" t="s">
        <v>300</v>
      </c>
      <c r="D77" s="191">
        <f>D78</f>
        <v>2000000</v>
      </c>
      <c r="E77" s="191">
        <f>'Realisasi Sept'!G77</f>
        <v>50000</v>
      </c>
      <c r="F77" s="191">
        <f t="shared" ref="F77:G77" si="30">F78</f>
        <v>0</v>
      </c>
      <c r="G77" s="191">
        <f t="shared" si="30"/>
        <v>50000</v>
      </c>
      <c r="H77" s="236">
        <f t="shared" si="21"/>
        <v>2.5000000000000001E-2</v>
      </c>
      <c r="I77" s="263"/>
      <c r="J77" s="186"/>
      <c r="L77" s="404"/>
    </row>
    <row r="78" spans="1:12" s="176" customFormat="1" x14ac:dyDescent="0.25">
      <c r="A78" s="188"/>
      <c r="B78" s="178" t="s">
        <v>507</v>
      </c>
      <c r="C78" s="183" t="s">
        <v>300</v>
      </c>
      <c r="D78" s="192">
        <v>2000000</v>
      </c>
      <c r="E78" s="192">
        <f>'Realisasi Sept'!G78</f>
        <v>50000</v>
      </c>
      <c r="F78" s="192">
        <v>0</v>
      </c>
      <c r="G78" s="192">
        <f>E78+F78</f>
        <v>50000</v>
      </c>
      <c r="H78" s="24">
        <f t="shared" si="21"/>
        <v>2.5000000000000001E-2</v>
      </c>
      <c r="I78" s="219"/>
      <c r="J78" s="175"/>
      <c r="L78" s="3"/>
    </row>
    <row r="79" spans="1:12" s="176" customFormat="1" x14ac:dyDescent="0.25">
      <c r="A79" s="188"/>
      <c r="B79" s="178"/>
      <c r="C79" s="183"/>
      <c r="D79" s="192"/>
      <c r="E79" s="192"/>
      <c r="F79" s="192"/>
      <c r="G79" s="191"/>
      <c r="H79" s="236"/>
      <c r="I79" s="220"/>
      <c r="J79" s="175"/>
      <c r="L79" s="3"/>
    </row>
    <row r="80" spans="1:12" s="176" customFormat="1" x14ac:dyDescent="0.25">
      <c r="A80" s="168" t="s">
        <v>62</v>
      </c>
      <c r="B80" s="22" t="s">
        <v>301</v>
      </c>
      <c r="C80" s="185" t="s">
        <v>63</v>
      </c>
      <c r="D80" s="191">
        <f t="shared" ref="D80:G82" si="31">D81</f>
        <v>25000000</v>
      </c>
      <c r="E80" s="191">
        <f t="shared" si="31"/>
        <v>19029600</v>
      </c>
      <c r="F80" s="191">
        <f t="shared" si="31"/>
        <v>2800000</v>
      </c>
      <c r="G80" s="191">
        <f t="shared" si="31"/>
        <v>21829600</v>
      </c>
      <c r="H80" s="236">
        <f>G80/D80</f>
        <v>0.87318399999999996</v>
      </c>
      <c r="I80" s="209"/>
      <c r="J80" s="175"/>
      <c r="L80" s="3"/>
    </row>
    <row r="81" spans="1:12" s="187" customFormat="1" x14ac:dyDescent="0.25">
      <c r="A81" s="169"/>
      <c r="B81" s="170" t="s">
        <v>285</v>
      </c>
      <c r="C81" s="185" t="s">
        <v>444</v>
      </c>
      <c r="D81" s="191">
        <f t="shared" si="31"/>
        <v>25000000</v>
      </c>
      <c r="E81" s="191">
        <f t="shared" si="31"/>
        <v>19029600</v>
      </c>
      <c r="F81" s="191">
        <f t="shared" si="31"/>
        <v>2800000</v>
      </c>
      <c r="G81" s="191">
        <f t="shared" si="31"/>
        <v>21829600</v>
      </c>
      <c r="H81" s="236">
        <f>G81/D81</f>
        <v>0.87318399999999996</v>
      </c>
      <c r="I81" s="216"/>
      <c r="J81" s="186"/>
      <c r="L81" s="404"/>
    </row>
    <row r="82" spans="1:12" s="187" customFormat="1" x14ac:dyDescent="0.25">
      <c r="A82" s="169"/>
      <c r="B82" s="170" t="s">
        <v>302</v>
      </c>
      <c r="C82" s="185" t="s">
        <v>64</v>
      </c>
      <c r="D82" s="191">
        <f>D83</f>
        <v>25000000</v>
      </c>
      <c r="E82" s="191">
        <f t="shared" si="31"/>
        <v>19029600</v>
      </c>
      <c r="F82" s="191">
        <f t="shared" si="31"/>
        <v>2800000</v>
      </c>
      <c r="G82" s="191">
        <f t="shared" si="31"/>
        <v>21829600</v>
      </c>
      <c r="H82" s="236">
        <f>G82/D82</f>
        <v>0.87318399999999996</v>
      </c>
      <c r="I82" s="216"/>
      <c r="J82" s="186"/>
      <c r="L82" s="404"/>
    </row>
    <row r="83" spans="1:12" s="176" customFormat="1" x14ac:dyDescent="0.25">
      <c r="A83" s="27"/>
      <c r="B83" s="178" t="s">
        <v>508</v>
      </c>
      <c r="C83" s="28" t="s">
        <v>509</v>
      </c>
      <c r="D83" s="192">
        <v>25000000</v>
      </c>
      <c r="E83" s="192">
        <f>'Realisasi Sept'!G83</f>
        <v>19029600</v>
      </c>
      <c r="F83" s="192">
        <v>2800000</v>
      </c>
      <c r="G83" s="192">
        <f>E83+F83</f>
        <v>21829600</v>
      </c>
      <c r="H83" s="24">
        <f>G83/D83</f>
        <v>0.87318399999999996</v>
      </c>
      <c r="I83" s="207" t="s">
        <v>65</v>
      </c>
      <c r="J83" s="175"/>
      <c r="L83" s="3"/>
    </row>
    <row r="84" spans="1:12" s="176" customFormat="1" x14ac:dyDescent="0.25">
      <c r="A84" s="27"/>
      <c r="B84" s="178"/>
      <c r="C84" s="171"/>
      <c r="D84" s="192"/>
      <c r="E84" s="192"/>
      <c r="F84" s="192"/>
      <c r="G84" s="191"/>
      <c r="H84" s="236"/>
      <c r="I84" s="207"/>
      <c r="J84" s="175"/>
      <c r="L84" s="3"/>
    </row>
    <row r="85" spans="1:12" s="176" customFormat="1" hidden="1" x14ac:dyDescent="0.25">
      <c r="A85" s="168" t="s">
        <v>66</v>
      </c>
      <c r="B85" s="22" t="s">
        <v>303</v>
      </c>
      <c r="C85" s="185" t="s">
        <v>67</v>
      </c>
      <c r="D85" s="196">
        <f>SUM(D86)</f>
        <v>0</v>
      </c>
      <c r="E85" s="196"/>
      <c r="F85" s="196">
        <f t="shared" ref="F85:G85" si="32">SUM(F86)</f>
        <v>0</v>
      </c>
      <c r="G85" s="196">
        <f t="shared" si="32"/>
        <v>0</v>
      </c>
      <c r="H85" s="236" t="e">
        <f t="shared" ref="H85:H90" si="33">G85/D85</f>
        <v>#DIV/0!</v>
      </c>
      <c r="I85" s="209"/>
      <c r="J85" s="175"/>
      <c r="L85" s="3"/>
    </row>
    <row r="86" spans="1:12" s="176" customFormat="1" hidden="1" x14ac:dyDescent="0.25">
      <c r="A86" s="27"/>
      <c r="B86" s="170" t="s">
        <v>298</v>
      </c>
      <c r="C86" s="185" t="s">
        <v>60</v>
      </c>
      <c r="D86" s="191">
        <f>D87+D89</f>
        <v>0</v>
      </c>
      <c r="E86" s="191"/>
      <c r="F86" s="191">
        <f t="shared" ref="F86:G86" si="34">F87+F89</f>
        <v>0</v>
      </c>
      <c r="G86" s="191">
        <f t="shared" si="34"/>
        <v>0</v>
      </c>
      <c r="H86" s="236" t="e">
        <f t="shared" si="33"/>
        <v>#DIV/0!</v>
      </c>
      <c r="I86" s="207"/>
      <c r="J86" s="175"/>
      <c r="L86" s="3"/>
    </row>
    <row r="87" spans="1:12" s="187" customFormat="1" hidden="1" x14ac:dyDescent="0.25">
      <c r="A87" s="264"/>
      <c r="B87" s="170" t="s">
        <v>304</v>
      </c>
      <c r="C87" s="185" t="s">
        <v>68</v>
      </c>
      <c r="D87" s="191">
        <f>D88</f>
        <v>0</v>
      </c>
      <c r="E87" s="191"/>
      <c r="F87" s="191">
        <f t="shared" ref="F87:G87" si="35">F88</f>
        <v>0</v>
      </c>
      <c r="G87" s="191">
        <f t="shared" si="35"/>
        <v>0</v>
      </c>
      <c r="H87" s="236" t="e">
        <f t="shared" si="33"/>
        <v>#DIV/0!</v>
      </c>
      <c r="I87" s="216" t="s">
        <v>69</v>
      </c>
      <c r="J87" s="186"/>
      <c r="L87" s="404"/>
    </row>
    <row r="88" spans="1:12" s="176" customFormat="1" hidden="1" x14ac:dyDescent="0.25">
      <c r="A88" s="27"/>
      <c r="B88" s="178" t="s">
        <v>510</v>
      </c>
      <c r="C88" s="183" t="s">
        <v>68</v>
      </c>
      <c r="D88" s="192">
        <v>0</v>
      </c>
      <c r="E88" s="192">
        <f>'Realisasi Agustus'!H87</f>
        <v>0</v>
      </c>
      <c r="F88" s="192"/>
      <c r="G88" s="192">
        <f>E88+F88</f>
        <v>0</v>
      </c>
      <c r="H88" s="24" t="e">
        <f t="shared" si="33"/>
        <v>#DIV/0!</v>
      </c>
      <c r="I88" s="207" t="s">
        <v>69</v>
      </c>
      <c r="J88" s="175"/>
      <c r="L88" s="3"/>
    </row>
    <row r="89" spans="1:12" s="187" customFormat="1" hidden="1" x14ac:dyDescent="0.25">
      <c r="A89" s="264"/>
      <c r="B89" s="170" t="s">
        <v>305</v>
      </c>
      <c r="C89" s="185" t="s">
        <v>70</v>
      </c>
      <c r="D89" s="191">
        <f>D90</f>
        <v>0</v>
      </c>
      <c r="E89" s="191"/>
      <c r="F89" s="191">
        <f t="shared" ref="F89:G89" si="36">F90</f>
        <v>0</v>
      </c>
      <c r="G89" s="191">
        <f t="shared" si="36"/>
        <v>0</v>
      </c>
      <c r="H89" s="236" t="e">
        <f t="shared" si="33"/>
        <v>#DIV/0!</v>
      </c>
      <c r="I89" s="216" t="s">
        <v>71</v>
      </c>
      <c r="J89" s="186"/>
      <c r="L89" s="404"/>
    </row>
    <row r="90" spans="1:12" s="176" customFormat="1" hidden="1" x14ac:dyDescent="0.25">
      <c r="A90" s="27"/>
      <c r="B90" s="178" t="s">
        <v>511</v>
      </c>
      <c r="C90" s="183" t="s">
        <v>70</v>
      </c>
      <c r="D90" s="192">
        <v>0</v>
      </c>
      <c r="E90" s="192">
        <f>'Realisasi Agustus'!H89</f>
        <v>0</v>
      </c>
      <c r="F90" s="192"/>
      <c r="G90" s="192">
        <f>E90+F90</f>
        <v>0</v>
      </c>
      <c r="H90" s="24" t="e">
        <f t="shared" si="33"/>
        <v>#DIV/0!</v>
      </c>
      <c r="I90" s="207" t="s">
        <v>71</v>
      </c>
      <c r="J90" s="175"/>
      <c r="L90" s="3"/>
    </row>
    <row r="91" spans="1:12" s="176" customFormat="1" hidden="1" x14ac:dyDescent="0.25">
      <c r="A91" s="27"/>
      <c r="B91" s="178"/>
      <c r="C91" s="183"/>
      <c r="D91" s="192"/>
      <c r="E91" s="192"/>
      <c r="F91" s="192"/>
      <c r="G91" s="191"/>
      <c r="H91" s="236"/>
      <c r="I91" s="207"/>
      <c r="J91" s="175"/>
      <c r="L91" s="3"/>
    </row>
    <row r="92" spans="1:12" s="176" customFormat="1" ht="24" customHeight="1" x14ac:dyDescent="0.25">
      <c r="A92" s="29" t="s">
        <v>73</v>
      </c>
      <c r="B92" s="22" t="s">
        <v>307</v>
      </c>
      <c r="C92" s="185" t="s">
        <v>82</v>
      </c>
      <c r="D92" s="196">
        <f>D93</f>
        <v>25440000</v>
      </c>
      <c r="E92" s="196">
        <f t="shared" ref="E92:G92" si="37">E93</f>
        <v>14400000</v>
      </c>
      <c r="F92" s="196">
        <f t="shared" si="37"/>
        <v>1300000</v>
      </c>
      <c r="G92" s="196">
        <f t="shared" si="37"/>
        <v>15700000</v>
      </c>
      <c r="H92" s="236">
        <f>G92/D92</f>
        <v>0.61713836477987416</v>
      </c>
      <c r="I92" s="209"/>
      <c r="J92" s="175"/>
      <c r="L92" s="3"/>
    </row>
    <row r="93" spans="1:12" s="187" customFormat="1" x14ac:dyDescent="0.25">
      <c r="A93" s="169"/>
      <c r="B93" s="170" t="s">
        <v>285</v>
      </c>
      <c r="C93" s="185" t="s">
        <v>444</v>
      </c>
      <c r="D93" s="191">
        <f>D95</f>
        <v>25440000</v>
      </c>
      <c r="E93" s="191">
        <f t="shared" ref="E93:F93" si="38">E95</f>
        <v>14400000</v>
      </c>
      <c r="F93" s="191">
        <f t="shared" si="38"/>
        <v>1300000</v>
      </c>
      <c r="G93" s="191">
        <f>G95</f>
        <v>15700000</v>
      </c>
      <c r="H93" s="236">
        <f>G93/D93</f>
        <v>0.61713836477987416</v>
      </c>
      <c r="I93" s="207" t="s">
        <v>83</v>
      </c>
      <c r="J93" s="186"/>
      <c r="L93" s="404"/>
    </row>
    <row r="94" spans="1:12" s="187" customFormat="1" x14ac:dyDescent="0.25">
      <c r="A94" s="169"/>
      <c r="B94" s="170" t="s">
        <v>308</v>
      </c>
      <c r="C94" s="172" t="s">
        <v>309</v>
      </c>
      <c r="D94" s="191">
        <f>D95</f>
        <v>25440000</v>
      </c>
      <c r="E94" s="191">
        <f t="shared" ref="E94:G94" si="39">E95</f>
        <v>14400000</v>
      </c>
      <c r="F94" s="191">
        <f t="shared" si="39"/>
        <v>1300000</v>
      </c>
      <c r="G94" s="191">
        <f t="shared" si="39"/>
        <v>15700000</v>
      </c>
      <c r="H94" s="236">
        <f>G94/D94</f>
        <v>0.61713836477987416</v>
      </c>
      <c r="I94" s="216"/>
      <c r="J94" s="186"/>
      <c r="L94" s="404"/>
    </row>
    <row r="95" spans="1:12" s="176" customFormat="1" x14ac:dyDescent="0.25">
      <c r="A95" s="188"/>
      <c r="B95" s="178" t="s">
        <v>512</v>
      </c>
      <c r="C95" s="171" t="s">
        <v>309</v>
      </c>
      <c r="D95" s="192">
        <v>25440000</v>
      </c>
      <c r="E95" s="192">
        <f>'Realisasi Sept'!G95</f>
        <v>14400000</v>
      </c>
      <c r="F95" s="192">
        <v>1300000</v>
      </c>
      <c r="G95" s="192">
        <f>E95+F95</f>
        <v>15700000</v>
      </c>
      <c r="H95" s="24">
        <f>G95/D95</f>
        <v>0.61713836477987416</v>
      </c>
      <c r="I95" s="207"/>
      <c r="J95" s="175"/>
      <c r="L95" s="3"/>
    </row>
    <row r="96" spans="1:12" s="176" customFormat="1" x14ac:dyDescent="0.25">
      <c r="A96" s="169"/>
      <c r="B96" s="22"/>
      <c r="C96" s="25"/>
      <c r="D96" s="192"/>
      <c r="E96" s="192"/>
      <c r="F96" s="192"/>
      <c r="G96" s="191"/>
      <c r="H96" s="236"/>
      <c r="I96" s="221"/>
      <c r="J96" s="175"/>
      <c r="L96" s="3"/>
    </row>
    <row r="97" spans="1:12" s="176" customFormat="1" ht="24.75" customHeight="1" x14ac:dyDescent="0.25">
      <c r="A97" s="29" t="s">
        <v>74</v>
      </c>
      <c r="B97" s="22" t="s">
        <v>310</v>
      </c>
      <c r="C97" s="185" t="s">
        <v>682</v>
      </c>
      <c r="D97" s="196">
        <f>D98</f>
        <v>1000000000</v>
      </c>
      <c r="E97" s="196">
        <f t="shared" ref="E97:G97" si="40">E98</f>
        <v>25997100</v>
      </c>
      <c r="F97" s="196">
        <f t="shared" si="40"/>
        <v>247000000</v>
      </c>
      <c r="G97" s="196">
        <f t="shared" si="40"/>
        <v>272997100</v>
      </c>
      <c r="H97" s="236">
        <f>G97/D97</f>
        <v>0.27299709999999999</v>
      </c>
      <c r="I97" s="207"/>
      <c r="J97" s="175"/>
      <c r="L97" s="3"/>
    </row>
    <row r="98" spans="1:12" s="187" customFormat="1" x14ac:dyDescent="0.25">
      <c r="A98" s="169"/>
      <c r="B98" s="170" t="s">
        <v>288</v>
      </c>
      <c r="C98" s="185" t="s">
        <v>55</v>
      </c>
      <c r="D98" s="191">
        <f>D99</f>
        <v>1000000000</v>
      </c>
      <c r="E98" s="191">
        <f t="shared" ref="E98" si="41">E99</f>
        <v>25997100</v>
      </c>
      <c r="F98" s="191">
        <f t="shared" ref="F98:G99" si="42">F99</f>
        <v>247000000</v>
      </c>
      <c r="G98" s="191">
        <f t="shared" si="42"/>
        <v>272997100</v>
      </c>
      <c r="H98" s="236">
        <f>G98/D98</f>
        <v>0.27299709999999999</v>
      </c>
      <c r="I98" s="216" t="s">
        <v>85</v>
      </c>
      <c r="J98" s="186"/>
      <c r="L98" s="404"/>
    </row>
    <row r="99" spans="1:12" s="187" customFormat="1" x14ac:dyDescent="0.25">
      <c r="A99" s="169"/>
      <c r="B99" s="170" t="s">
        <v>311</v>
      </c>
      <c r="C99" s="185" t="s">
        <v>312</v>
      </c>
      <c r="D99" s="191">
        <f>D100</f>
        <v>1000000000</v>
      </c>
      <c r="E99" s="191">
        <f t="shared" ref="E99" si="43">E100</f>
        <v>25997100</v>
      </c>
      <c r="F99" s="191">
        <f t="shared" si="42"/>
        <v>247000000</v>
      </c>
      <c r="G99" s="191">
        <f t="shared" si="42"/>
        <v>272997100</v>
      </c>
      <c r="H99" s="236">
        <f>G99/D99</f>
        <v>0.27299709999999999</v>
      </c>
      <c r="I99" s="216"/>
      <c r="J99" s="186"/>
      <c r="L99" s="404"/>
    </row>
    <row r="100" spans="1:12" s="176" customFormat="1" x14ac:dyDescent="0.25">
      <c r="A100" s="188"/>
      <c r="B100" s="178" t="s">
        <v>513</v>
      </c>
      <c r="C100" s="183" t="s">
        <v>312</v>
      </c>
      <c r="D100" s="192">
        <v>1000000000</v>
      </c>
      <c r="E100" s="192">
        <f>'Realisasi Sept'!G100</f>
        <v>25997100</v>
      </c>
      <c r="F100" s="192">
        <v>247000000</v>
      </c>
      <c r="G100" s="192">
        <f>E100+F100</f>
        <v>272997100</v>
      </c>
      <c r="H100" s="24">
        <f>G100/D100</f>
        <v>0.27299709999999999</v>
      </c>
      <c r="I100" s="207"/>
      <c r="J100" s="175"/>
      <c r="L100" s="3"/>
    </row>
    <row r="101" spans="1:12" s="176" customFormat="1" x14ac:dyDescent="0.25">
      <c r="A101" s="188"/>
      <c r="B101" s="178"/>
      <c r="C101" s="183"/>
      <c r="D101" s="192"/>
      <c r="E101" s="192"/>
      <c r="F101" s="192"/>
      <c r="G101" s="191"/>
      <c r="H101" s="236"/>
      <c r="I101" s="207"/>
      <c r="J101" s="175"/>
      <c r="L101" s="3"/>
    </row>
    <row r="102" spans="1:12" s="176" customFormat="1" ht="41.25" customHeight="1" x14ac:dyDescent="0.25">
      <c r="A102" s="168" t="s">
        <v>86</v>
      </c>
      <c r="B102" s="189" t="s">
        <v>313</v>
      </c>
      <c r="C102" s="30" t="s">
        <v>87</v>
      </c>
      <c r="D102" s="196">
        <f>SUM(D103)</f>
        <v>1663748324</v>
      </c>
      <c r="E102" s="196">
        <f t="shared" ref="E102:G102" si="44">SUM(E103)</f>
        <v>1079761191</v>
      </c>
      <c r="F102" s="196">
        <f t="shared" si="44"/>
        <v>0</v>
      </c>
      <c r="G102" s="196">
        <f t="shared" si="44"/>
        <v>1079761191</v>
      </c>
      <c r="H102" s="236">
        <f>G102/D102</f>
        <v>0.64899310516149922</v>
      </c>
      <c r="I102" s="209"/>
      <c r="J102" s="175"/>
      <c r="L102" s="3"/>
    </row>
    <row r="103" spans="1:12" s="176" customFormat="1" ht="32.25" customHeight="1" x14ac:dyDescent="0.25">
      <c r="A103" s="188"/>
      <c r="B103" s="189" t="s">
        <v>314</v>
      </c>
      <c r="C103" s="30" t="s">
        <v>88</v>
      </c>
      <c r="D103" s="191">
        <f>SUM(D104:D106)</f>
        <v>1663748324</v>
      </c>
      <c r="E103" s="191">
        <f t="shared" ref="E103:G103" si="45">SUM(E104:E106)</f>
        <v>1079761191</v>
      </c>
      <c r="F103" s="191">
        <f t="shared" si="45"/>
        <v>0</v>
      </c>
      <c r="G103" s="191">
        <f t="shared" si="45"/>
        <v>1079761191</v>
      </c>
      <c r="H103" s="236">
        <f>G103/D103</f>
        <v>0.64899310516149922</v>
      </c>
      <c r="I103" s="209"/>
      <c r="J103" s="175"/>
      <c r="L103" s="3"/>
    </row>
    <row r="104" spans="1:12" s="176" customFormat="1" x14ac:dyDescent="0.25">
      <c r="A104" s="184" t="s">
        <v>89</v>
      </c>
      <c r="B104" s="190" t="s">
        <v>314</v>
      </c>
      <c r="C104" s="183" t="s">
        <v>90</v>
      </c>
      <c r="D104" s="192">
        <v>895097348</v>
      </c>
      <c r="E104" s="192">
        <f>'Realisasi Sept'!G104</f>
        <v>1079761191</v>
      </c>
      <c r="F104" s="192"/>
      <c r="G104" s="192">
        <f>E104+F104</f>
        <v>1079761191</v>
      </c>
      <c r="H104" s="24">
        <f>G104/D104</f>
        <v>1.206305876576008</v>
      </c>
      <c r="I104" s="207"/>
      <c r="J104" s="175"/>
      <c r="L104" s="3"/>
    </row>
    <row r="105" spans="1:12" s="176" customFormat="1" x14ac:dyDescent="0.25">
      <c r="A105" s="184" t="s">
        <v>91</v>
      </c>
      <c r="B105" s="190" t="s">
        <v>314</v>
      </c>
      <c r="C105" s="183" t="s">
        <v>92</v>
      </c>
      <c r="D105" s="192">
        <v>455948308</v>
      </c>
      <c r="E105" s="192">
        <f>'Realisasi Sept'!G105</f>
        <v>0</v>
      </c>
      <c r="F105" s="192"/>
      <c r="G105" s="192">
        <f t="shared" ref="G105:G106" si="46">E105+F105</f>
        <v>0</v>
      </c>
      <c r="H105" s="24">
        <f>G105/D105</f>
        <v>0</v>
      </c>
      <c r="I105" s="207" t="s">
        <v>93</v>
      </c>
      <c r="J105" s="175"/>
      <c r="L105" s="3"/>
    </row>
    <row r="106" spans="1:12" s="176" customFormat="1" x14ac:dyDescent="0.25">
      <c r="A106" s="184" t="s">
        <v>72</v>
      </c>
      <c r="B106" s="190" t="s">
        <v>314</v>
      </c>
      <c r="C106" s="183" t="s">
        <v>94</v>
      </c>
      <c r="D106" s="192">
        <v>312702668</v>
      </c>
      <c r="E106" s="192">
        <f>'Realisasi Sept'!G106</f>
        <v>0</v>
      </c>
      <c r="F106" s="192"/>
      <c r="G106" s="192">
        <f t="shared" si="46"/>
        <v>0</v>
      </c>
      <c r="H106" s="24">
        <f>G106/D106</f>
        <v>0</v>
      </c>
      <c r="I106" s="207"/>
      <c r="J106" s="175"/>
      <c r="L106" s="3"/>
    </row>
    <row r="107" spans="1:12" s="176" customFormat="1" x14ac:dyDescent="0.25">
      <c r="A107" s="188"/>
      <c r="B107" s="178"/>
      <c r="C107" s="183"/>
      <c r="D107" s="192"/>
      <c r="E107" s="192"/>
      <c r="F107" s="192"/>
      <c r="G107" s="191"/>
      <c r="H107" s="236"/>
      <c r="I107" s="207"/>
      <c r="J107" s="175"/>
      <c r="L107" s="3"/>
    </row>
    <row r="108" spans="1:12" s="176" customFormat="1" ht="21" customHeight="1" x14ac:dyDescent="0.25">
      <c r="A108" s="169" t="s">
        <v>95</v>
      </c>
      <c r="B108" s="189" t="s">
        <v>315</v>
      </c>
      <c r="C108" s="185" t="s">
        <v>96</v>
      </c>
      <c r="D108" s="191">
        <f>SUM(D110+D121+D125+D129+D142+D144+D157+D159+D166+D206+D220+D226+D115+D118+D138)</f>
        <v>171911765691</v>
      </c>
      <c r="E108" s="191">
        <f>SUM(E110+E121+E125+E129+E142+E144+E157+E159+E166+E206+E220+E226+E118+E138)</f>
        <v>148368974575.35001</v>
      </c>
      <c r="F108" s="191">
        <f>SUM(F110+F121+F125+F129+F142+F144+F157+F159+F166+F206+F220+F226+F118+F138)</f>
        <v>13260337508.84</v>
      </c>
      <c r="G108" s="191">
        <f t="shared" ref="G108" si="47">SUM(G110+G121+G125+G129+G142+G144+G157+G159+G166+G206+G220+G226+G118+G138)</f>
        <v>161629312084.18997</v>
      </c>
      <c r="H108" s="236">
        <f>G108/D108</f>
        <v>0.94018760981553728</v>
      </c>
      <c r="I108" s="209"/>
      <c r="J108" s="175"/>
      <c r="K108" s="270"/>
      <c r="L108" s="3"/>
    </row>
    <row r="109" spans="1:12" s="176" customFormat="1" x14ac:dyDescent="0.25">
      <c r="A109" s="169"/>
      <c r="B109" s="31"/>
      <c r="C109" s="32"/>
      <c r="D109" s="192"/>
      <c r="E109" s="192"/>
      <c r="F109" s="192"/>
      <c r="G109" s="191"/>
      <c r="H109" s="236"/>
      <c r="I109" s="209"/>
      <c r="J109" s="175"/>
      <c r="L109" s="3"/>
    </row>
    <row r="110" spans="1:12" s="176" customFormat="1" x14ac:dyDescent="0.25">
      <c r="A110" s="168" t="s">
        <v>19</v>
      </c>
      <c r="B110" s="189" t="s">
        <v>587</v>
      </c>
      <c r="C110" s="180" t="s">
        <v>589</v>
      </c>
      <c r="D110" s="191">
        <f>D112+D115</f>
        <v>3049424600</v>
      </c>
      <c r="E110" s="191">
        <f>E112+E115</f>
        <v>1074295000</v>
      </c>
      <c r="F110" s="191">
        <f t="shared" ref="F110:G110" si="48">F112+F115</f>
        <v>25327000</v>
      </c>
      <c r="G110" s="191">
        <f t="shared" si="48"/>
        <v>1099622000</v>
      </c>
      <c r="H110" s="236">
        <f>G110/D110</f>
        <v>0.36059983250610622</v>
      </c>
      <c r="I110" s="209"/>
      <c r="J110" s="175"/>
      <c r="L110" s="3"/>
    </row>
    <row r="111" spans="1:12" s="176" customFormat="1" x14ac:dyDescent="0.25">
      <c r="A111" s="168"/>
      <c r="B111" s="189" t="s">
        <v>588</v>
      </c>
      <c r="C111" s="180" t="s">
        <v>589</v>
      </c>
      <c r="D111" s="191"/>
      <c r="E111" s="191"/>
      <c r="F111" s="192"/>
      <c r="G111" s="191"/>
      <c r="H111" s="236"/>
      <c r="I111" s="209"/>
      <c r="J111" s="175"/>
      <c r="L111" s="3"/>
    </row>
    <row r="112" spans="1:12" s="176" customFormat="1" x14ac:dyDescent="0.25">
      <c r="A112" s="168"/>
      <c r="B112" s="189" t="s">
        <v>584</v>
      </c>
      <c r="C112" s="180" t="s">
        <v>585</v>
      </c>
      <c r="D112" s="191">
        <f>D113</f>
        <v>3049424600</v>
      </c>
      <c r="E112" s="191">
        <f t="shared" ref="E112:G112" si="49">E113</f>
        <v>880302000</v>
      </c>
      <c r="F112" s="191">
        <f t="shared" si="49"/>
        <v>0</v>
      </c>
      <c r="G112" s="191">
        <f t="shared" si="49"/>
        <v>880302000</v>
      </c>
      <c r="H112" s="236">
        <f>G112/D112</f>
        <v>0.28867806733112861</v>
      </c>
      <c r="I112" s="209"/>
      <c r="J112" s="175"/>
      <c r="L112" s="3"/>
    </row>
    <row r="113" spans="1:12" s="176" customFormat="1" x14ac:dyDescent="0.25">
      <c r="A113" s="168"/>
      <c r="B113" s="190"/>
      <c r="C113" s="33" t="s">
        <v>586</v>
      </c>
      <c r="D113" s="192">
        <v>3049424600</v>
      </c>
      <c r="E113" s="192">
        <f>'Realisasi Sept'!G113</f>
        <v>880302000</v>
      </c>
      <c r="F113" s="192"/>
      <c r="G113" s="192">
        <f>E113+F113</f>
        <v>880302000</v>
      </c>
      <c r="H113" s="24">
        <f>G113/D113</f>
        <v>0.28867806733112861</v>
      </c>
      <c r="I113" s="209"/>
      <c r="J113" s="175"/>
      <c r="L113" s="3"/>
    </row>
    <row r="114" spans="1:12" s="176" customFormat="1" x14ac:dyDescent="0.25">
      <c r="A114" s="169"/>
      <c r="B114" s="31"/>
      <c r="C114" s="32"/>
      <c r="D114" s="192"/>
      <c r="E114" s="192"/>
      <c r="F114" s="192"/>
      <c r="G114" s="191"/>
      <c r="H114" s="24"/>
      <c r="I114" s="209"/>
      <c r="J114" s="175"/>
      <c r="L114" s="3"/>
    </row>
    <row r="115" spans="1:12" s="176" customFormat="1" x14ac:dyDescent="0.25">
      <c r="A115" s="168"/>
      <c r="B115" s="190" t="s">
        <v>590</v>
      </c>
      <c r="C115" s="172" t="s">
        <v>581</v>
      </c>
      <c r="D115" s="191">
        <f>SUM(D116)</f>
        <v>0</v>
      </c>
      <c r="E115" s="191">
        <f>E116</f>
        <v>193993000</v>
      </c>
      <c r="F115" s="191">
        <f t="shared" ref="F115:G115" si="50">SUM(F116)</f>
        <v>25327000</v>
      </c>
      <c r="G115" s="191">
        <f t="shared" si="50"/>
        <v>219320000</v>
      </c>
      <c r="H115" s="236" t="e">
        <f t="shared" ref="H115:H116" si="51">G115/D115</f>
        <v>#DIV/0!</v>
      </c>
      <c r="I115" s="207"/>
      <c r="J115" s="175"/>
      <c r="L115" s="3"/>
    </row>
    <row r="116" spans="1:12" s="176" customFormat="1" x14ac:dyDescent="0.25">
      <c r="A116" s="168"/>
      <c r="B116" s="189"/>
      <c r="C116" s="193" t="s">
        <v>622</v>
      </c>
      <c r="D116" s="192">
        <v>0</v>
      </c>
      <c r="E116" s="192">
        <f>'Realisasi Sept'!G116</f>
        <v>193993000</v>
      </c>
      <c r="F116" s="192">
        <v>25327000</v>
      </c>
      <c r="G116" s="192">
        <f>E116+F116</f>
        <v>219320000</v>
      </c>
      <c r="H116" s="24" t="e">
        <f t="shared" si="51"/>
        <v>#DIV/0!</v>
      </c>
      <c r="I116" s="207"/>
      <c r="J116" s="175"/>
      <c r="L116" s="3"/>
    </row>
    <row r="117" spans="1:12" s="176" customFormat="1" x14ac:dyDescent="0.25">
      <c r="A117" s="168"/>
      <c r="B117" s="189"/>
      <c r="C117" s="193"/>
      <c r="D117" s="192"/>
      <c r="E117" s="192"/>
      <c r="F117" s="192"/>
      <c r="G117" s="192"/>
      <c r="H117" s="236"/>
      <c r="I117" s="207"/>
      <c r="J117" s="175"/>
      <c r="L117" s="3"/>
    </row>
    <row r="118" spans="1:12" s="176" customFormat="1" x14ac:dyDescent="0.25">
      <c r="A118" s="169"/>
      <c r="B118" s="190" t="s">
        <v>318</v>
      </c>
      <c r="C118" s="172" t="s">
        <v>319</v>
      </c>
      <c r="D118" s="191">
        <f>SUM(D119:D119)</f>
        <v>801206585</v>
      </c>
      <c r="E118" s="191">
        <f>'Realisasi Sept'!G118</f>
        <v>823197335</v>
      </c>
      <c r="F118" s="191">
        <f>SUM(F119:F119)</f>
        <v>7756000</v>
      </c>
      <c r="G118" s="191">
        <f>SUM(G119:G119)</f>
        <v>830953335</v>
      </c>
      <c r="H118" s="236">
        <f>G118/D118</f>
        <v>1.037127440733653</v>
      </c>
      <c r="I118" s="209"/>
      <c r="J118" s="175"/>
      <c r="L118" s="3"/>
    </row>
    <row r="119" spans="1:12" s="176" customFormat="1" x14ac:dyDescent="0.25">
      <c r="A119" s="169"/>
      <c r="B119" s="190"/>
      <c r="C119" s="193" t="s">
        <v>670</v>
      </c>
      <c r="D119" s="192">
        <v>801206585</v>
      </c>
      <c r="E119" s="192">
        <f>'Realisasi Sept'!G119</f>
        <v>823197335</v>
      </c>
      <c r="F119" s="192">
        <v>7756000</v>
      </c>
      <c r="G119" s="192">
        <f t="shared" ref="G119" si="52">E119+F119</f>
        <v>830953335</v>
      </c>
      <c r="H119" s="24">
        <f t="shared" ref="H119" si="53">G119/D119</f>
        <v>1.037127440733653</v>
      </c>
      <c r="I119" s="209"/>
      <c r="J119" s="175"/>
      <c r="L119" s="3"/>
    </row>
    <row r="120" spans="1:12" s="176" customFormat="1" x14ac:dyDescent="0.25">
      <c r="A120" s="169"/>
      <c r="B120" s="190"/>
      <c r="C120" s="193"/>
      <c r="D120" s="192"/>
      <c r="E120" s="191">
        <f>'Realisasi Sept'!G120</f>
        <v>0</v>
      </c>
      <c r="F120" s="192"/>
      <c r="G120" s="191"/>
      <c r="H120" s="236"/>
      <c r="I120" s="209"/>
      <c r="J120" s="175"/>
      <c r="L120" s="3"/>
    </row>
    <row r="121" spans="1:12" s="176" customFormat="1" x14ac:dyDescent="0.25">
      <c r="A121" s="168" t="s">
        <v>46</v>
      </c>
      <c r="B121" s="189" t="s">
        <v>342</v>
      </c>
      <c r="C121" s="185" t="s">
        <v>343</v>
      </c>
      <c r="D121" s="191">
        <f>D122</f>
        <v>1000000000</v>
      </c>
      <c r="E121" s="191">
        <f>'Realisasi Sept'!G121</f>
        <v>0</v>
      </c>
      <c r="F121" s="191">
        <f t="shared" ref="F121:G122" si="54">F122</f>
        <v>0</v>
      </c>
      <c r="G121" s="191">
        <f t="shared" si="54"/>
        <v>0</v>
      </c>
      <c r="H121" s="236">
        <f>G121/D121</f>
        <v>0</v>
      </c>
      <c r="I121" s="209"/>
      <c r="J121" s="175"/>
      <c r="L121" s="3"/>
    </row>
    <row r="122" spans="1:12" s="187" customFormat="1" x14ac:dyDescent="0.25">
      <c r="A122" s="169"/>
      <c r="B122" s="189" t="s">
        <v>344</v>
      </c>
      <c r="C122" s="185" t="s">
        <v>349</v>
      </c>
      <c r="D122" s="191">
        <f>D123</f>
        <v>1000000000</v>
      </c>
      <c r="E122" s="191">
        <f>'Realisasi Sept'!G122</f>
        <v>0</v>
      </c>
      <c r="F122" s="191">
        <f t="shared" si="54"/>
        <v>0</v>
      </c>
      <c r="G122" s="191">
        <f t="shared" si="54"/>
        <v>0</v>
      </c>
      <c r="H122" s="236">
        <f>G122/D122</f>
        <v>0</v>
      </c>
      <c r="I122" s="210"/>
      <c r="J122" s="186"/>
      <c r="L122" s="404"/>
    </row>
    <row r="123" spans="1:12" s="176" customFormat="1" x14ac:dyDescent="0.25">
      <c r="A123" s="169"/>
      <c r="B123" s="190" t="s">
        <v>730</v>
      </c>
      <c r="C123" s="171" t="s">
        <v>162</v>
      </c>
      <c r="D123" s="192">
        <v>1000000000</v>
      </c>
      <c r="E123" s="191">
        <f>'Realisasi Sept'!G123</f>
        <v>0</v>
      </c>
      <c r="F123" s="192"/>
      <c r="G123" s="192">
        <f>E123+F123</f>
        <v>0</v>
      </c>
      <c r="H123" s="24">
        <f>G123/D123</f>
        <v>0</v>
      </c>
      <c r="I123" s="209"/>
      <c r="J123" s="175"/>
      <c r="L123" s="3"/>
    </row>
    <row r="124" spans="1:12" s="176" customFormat="1" x14ac:dyDescent="0.25">
      <c r="A124" s="169"/>
      <c r="B124" s="190"/>
      <c r="C124" s="193"/>
      <c r="D124" s="192"/>
      <c r="E124" s="191"/>
      <c r="F124" s="192"/>
      <c r="G124" s="191"/>
      <c r="H124" s="236"/>
      <c r="I124" s="209"/>
      <c r="J124" s="175"/>
      <c r="L124" s="3"/>
    </row>
    <row r="125" spans="1:12" s="176" customFormat="1" x14ac:dyDescent="0.25">
      <c r="A125" s="168" t="s">
        <v>8</v>
      </c>
      <c r="B125" s="189" t="s">
        <v>320</v>
      </c>
      <c r="C125" s="185" t="s">
        <v>97</v>
      </c>
      <c r="D125" s="196">
        <f>SUM(D126:D127)</f>
        <v>2750000000</v>
      </c>
      <c r="E125" s="191">
        <f>'Realisasi Sept'!G125</f>
        <v>2505494039.8499999</v>
      </c>
      <c r="F125" s="196">
        <f t="shared" ref="F125:G125" si="55">SUM(F126:F127)</f>
        <v>348151809.55000001</v>
      </c>
      <c r="G125" s="196">
        <f t="shared" si="55"/>
        <v>2853645849.4000001</v>
      </c>
      <c r="H125" s="236">
        <f>G125/D125</f>
        <v>1.0376893997818182</v>
      </c>
      <c r="I125" s="207"/>
      <c r="J125" s="175"/>
      <c r="L125" s="3"/>
    </row>
    <row r="126" spans="1:12" s="176" customFormat="1" x14ac:dyDescent="0.25">
      <c r="A126" s="188"/>
      <c r="B126" s="190" t="s">
        <v>514</v>
      </c>
      <c r="C126" s="183" t="s">
        <v>515</v>
      </c>
      <c r="D126" s="192">
        <v>2500000000</v>
      </c>
      <c r="E126" s="192">
        <f>'Realisasi Sept'!G126</f>
        <v>2441240130.8499999</v>
      </c>
      <c r="F126" s="192">
        <v>340873010.55000001</v>
      </c>
      <c r="G126" s="192">
        <f>E126+F126</f>
        <v>2782113141.4000001</v>
      </c>
      <c r="H126" s="24">
        <f>G126/D126</f>
        <v>1.11284525656</v>
      </c>
      <c r="I126" s="207"/>
      <c r="J126" s="175"/>
      <c r="L126" s="3"/>
    </row>
    <row r="127" spans="1:12" s="176" customFormat="1" x14ac:dyDescent="0.25">
      <c r="A127" s="188"/>
      <c r="B127" s="190" t="s">
        <v>517</v>
      </c>
      <c r="C127" s="183" t="s">
        <v>516</v>
      </c>
      <c r="D127" s="192">
        <v>250000000</v>
      </c>
      <c r="E127" s="192">
        <f>'Realisasi Sept'!G127</f>
        <v>64253909</v>
      </c>
      <c r="F127" s="192">
        <v>7278799</v>
      </c>
      <c r="G127" s="192">
        <f>E127+F127</f>
        <v>71532708</v>
      </c>
      <c r="H127" s="24">
        <f>G127/D127</f>
        <v>0.286130832</v>
      </c>
      <c r="I127" s="207"/>
      <c r="J127" s="175"/>
      <c r="L127" s="3"/>
    </row>
    <row r="128" spans="1:12" s="176" customFormat="1" x14ac:dyDescent="0.25">
      <c r="A128" s="188"/>
      <c r="B128" s="178"/>
      <c r="C128" s="183"/>
      <c r="D128" s="192"/>
      <c r="E128" s="191"/>
      <c r="F128" s="192"/>
      <c r="G128" s="191"/>
      <c r="H128" s="236"/>
      <c r="I128" s="207"/>
      <c r="J128" s="175"/>
      <c r="L128" s="3"/>
    </row>
    <row r="129" spans="1:12" s="176" customFormat="1" x14ac:dyDescent="0.25">
      <c r="A129" s="168" t="s">
        <v>49</v>
      </c>
      <c r="B129" s="189" t="s">
        <v>321</v>
      </c>
      <c r="C129" s="180" t="s">
        <v>98</v>
      </c>
      <c r="D129" s="196">
        <f>D130</f>
        <v>3100000000</v>
      </c>
      <c r="E129" s="191">
        <f>'Realisasi Sept'!G129</f>
        <v>544110763.93999994</v>
      </c>
      <c r="F129" s="196">
        <v>82592272.5</v>
      </c>
      <c r="G129" s="196">
        <f>E129+F129</f>
        <v>626703036.43999994</v>
      </c>
      <c r="H129" s="236">
        <f t="shared" ref="H129:H135" si="56">G129/D129</f>
        <v>0.20216226981935481</v>
      </c>
      <c r="I129" s="207"/>
      <c r="J129" s="175"/>
      <c r="L129" s="3"/>
    </row>
    <row r="130" spans="1:12" s="176" customFormat="1" x14ac:dyDescent="0.25">
      <c r="A130" s="168"/>
      <c r="B130" s="189" t="s">
        <v>322</v>
      </c>
      <c r="C130" s="180" t="s">
        <v>323</v>
      </c>
      <c r="D130" s="196">
        <f>D131</f>
        <v>3100000000</v>
      </c>
      <c r="E130" s="191">
        <f>'Realisasi Sept'!G130</f>
        <v>544110763.93999994</v>
      </c>
      <c r="F130" s="196">
        <f t="shared" ref="F130:G130" si="57">F131</f>
        <v>82592272.5</v>
      </c>
      <c r="G130" s="196">
        <f t="shared" si="57"/>
        <v>626703036.43999994</v>
      </c>
      <c r="H130" s="236">
        <f t="shared" si="56"/>
        <v>0.20216226981935481</v>
      </c>
      <c r="I130" s="207"/>
      <c r="J130" s="175"/>
      <c r="L130" s="3"/>
    </row>
    <row r="131" spans="1:12" s="176" customFormat="1" x14ac:dyDescent="0.25">
      <c r="A131" s="168"/>
      <c r="B131" s="189" t="s">
        <v>518</v>
      </c>
      <c r="C131" s="180" t="s">
        <v>323</v>
      </c>
      <c r="D131" s="196">
        <f>SUM(D132:D136)</f>
        <v>3100000000</v>
      </c>
      <c r="E131" s="191">
        <f>'Realisasi Sept'!G131</f>
        <v>544110763.93999994</v>
      </c>
      <c r="F131" s="196">
        <v>82592272.5</v>
      </c>
      <c r="G131" s="196">
        <f>E131+F131</f>
        <v>626703036.43999994</v>
      </c>
      <c r="H131" s="236">
        <f t="shared" si="56"/>
        <v>0.20216226981935481</v>
      </c>
      <c r="I131" s="207"/>
      <c r="J131" s="175"/>
      <c r="L131" s="3"/>
    </row>
    <row r="132" spans="1:12" s="176" customFormat="1" x14ac:dyDescent="0.25">
      <c r="A132" s="169"/>
      <c r="B132" s="177"/>
      <c r="C132" s="193" t="s">
        <v>324</v>
      </c>
      <c r="D132" s="181">
        <v>1200000000</v>
      </c>
      <c r="E132" s="192">
        <f>'Realisasi Sept'!G132</f>
        <v>161164210</v>
      </c>
      <c r="F132" s="181"/>
      <c r="G132" s="192">
        <f>E132+F132</f>
        <v>161164210</v>
      </c>
      <c r="H132" s="24">
        <f t="shared" si="56"/>
        <v>0.13430350833333332</v>
      </c>
      <c r="I132" s="207"/>
      <c r="J132" s="175"/>
      <c r="L132" s="3"/>
    </row>
    <row r="133" spans="1:12" s="176" customFormat="1" x14ac:dyDescent="0.25">
      <c r="A133" s="169"/>
      <c r="B133" s="177"/>
      <c r="C133" s="193" t="s">
        <v>325</v>
      </c>
      <c r="D133" s="181">
        <v>600000000</v>
      </c>
      <c r="E133" s="192">
        <f>'Realisasi Sept'!G133</f>
        <v>77935849.229999989</v>
      </c>
      <c r="F133" s="181"/>
      <c r="G133" s="192">
        <f t="shared" ref="G133:G136" si="58">E133+F133</f>
        <v>77935849.229999989</v>
      </c>
      <c r="H133" s="24">
        <f t="shared" si="56"/>
        <v>0.12989308204999997</v>
      </c>
      <c r="I133" s="207"/>
      <c r="J133" s="175"/>
      <c r="L133" s="3"/>
    </row>
    <row r="134" spans="1:12" s="176" customFormat="1" x14ac:dyDescent="0.25">
      <c r="A134" s="169"/>
      <c r="B134" s="178"/>
      <c r="C134" s="193" t="s">
        <v>578</v>
      </c>
      <c r="D134" s="181">
        <v>0</v>
      </c>
      <c r="E134" s="192">
        <f>'Realisasi Sept'!G134</f>
        <v>37602740</v>
      </c>
      <c r="F134" s="181"/>
      <c r="G134" s="192">
        <f t="shared" si="58"/>
        <v>37602740</v>
      </c>
      <c r="H134" s="24" t="e">
        <f t="shared" si="56"/>
        <v>#DIV/0!</v>
      </c>
      <c r="I134" s="207"/>
      <c r="J134" s="175"/>
      <c r="L134" s="3"/>
    </row>
    <row r="135" spans="1:12" s="176" customFormat="1" x14ac:dyDescent="0.25">
      <c r="A135" s="169"/>
      <c r="B135" s="178"/>
      <c r="C135" s="193" t="s">
        <v>326</v>
      </c>
      <c r="D135" s="181">
        <v>800000000</v>
      </c>
      <c r="E135" s="192">
        <f>'Realisasi Sept'!G135</f>
        <v>173431522</v>
      </c>
      <c r="F135" s="181"/>
      <c r="G135" s="192">
        <f t="shared" si="58"/>
        <v>173431522</v>
      </c>
      <c r="H135" s="24">
        <f t="shared" si="56"/>
        <v>0.21678940250000001</v>
      </c>
      <c r="I135" s="207"/>
      <c r="J135" s="175"/>
      <c r="L135" s="3"/>
    </row>
    <row r="136" spans="1:12" s="176" customFormat="1" x14ac:dyDescent="0.25">
      <c r="A136" s="169"/>
      <c r="B136" s="178"/>
      <c r="C136" s="193" t="s">
        <v>687</v>
      </c>
      <c r="D136" s="181">
        <v>500000000</v>
      </c>
      <c r="E136" s="192">
        <f>'Realisasi Sept'!G136</f>
        <v>57020547.939999998</v>
      </c>
      <c r="F136" s="181"/>
      <c r="G136" s="192">
        <f t="shared" si="58"/>
        <v>57020547.939999998</v>
      </c>
      <c r="H136" s="24"/>
      <c r="I136" s="207"/>
      <c r="J136" s="175"/>
      <c r="L136" s="3"/>
    </row>
    <row r="137" spans="1:12" s="176" customFormat="1" x14ac:dyDescent="0.25">
      <c r="A137" s="169"/>
      <c r="B137" s="170"/>
      <c r="C137" s="185"/>
      <c r="D137" s="191"/>
      <c r="E137" s="191"/>
      <c r="F137" s="191"/>
      <c r="G137" s="192"/>
      <c r="H137" s="24"/>
      <c r="I137" s="207"/>
      <c r="J137" s="175"/>
      <c r="L137" s="3"/>
    </row>
    <row r="138" spans="1:12" s="176" customFormat="1" x14ac:dyDescent="0.25">
      <c r="A138" s="168" t="s">
        <v>53</v>
      </c>
      <c r="B138" s="189" t="s">
        <v>623</v>
      </c>
      <c r="C138" s="180" t="s">
        <v>626</v>
      </c>
      <c r="D138" s="196">
        <f>D139</f>
        <v>0</v>
      </c>
      <c r="E138" s="196">
        <f t="shared" ref="E138:G139" si="59">E139</f>
        <v>1260421441.5699997</v>
      </c>
      <c r="F138" s="196">
        <f t="shared" si="59"/>
        <v>54821212.509999998</v>
      </c>
      <c r="G138" s="196">
        <f t="shared" si="59"/>
        <v>1315242654.0799997</v>
      </c>
      <c r="H138" s="236" t="e">
        <f>G138/D138</f>
        <v>#DIV/0!</v>
      </c>
      <c r="I138" s="207"/>
      <c r="J138" s="175"/>
      <c r="L138" s="3"/>
    </row>
    <row r="139" spans="1:12" s="176" customFormat="1" x14ac:dyDescent="0.25">
      <c r="A139" s="169"/>
      <c r="B139" s="189" t="s">
        <v>624</v>
      </c>
      <c r="C139" s="180" t="s">
        <v>626</v>
      </c>
      <c r="D139" s="196">
        <f>D140</f>
        <v>0</v>
      </c>
      <c r="E139" s="196">
        <f t="shared" si="59"/>
        <v>1260421441.5699997</v>
      </c>
      <c r="F139" s="196">
        <f t="shared" si="59"/>
        <v>54821212.509999998</v>
      </c>
      <c r="G139" s="196">
        <f t="shared" si="59"/>
        <v>1315242654.0799997</v>
      </c>
      <c r="H139" s="236" t="e">
        <f>G139/D139</f>
        <v>#DIV/0!</v>
      </c>
      <c r="I139" s="207"/>
      <c r="J139" s="175"/>
      <c r="L139" s="3"/>
    </row>
    <row r="140" spans="1:12" s="176" customFormat="1" x14ac:dyDescent="0.25">
      <c r="A140" s="188"/>
      <c r="B140" s="190" t="s">
        <v>625</v>
      </c>
      <c r="C140" s="33" t="s">
        <v>626</v>
      </c>
      <c r="D140" s="181">
        <v>0</v>
      </c>
      <c r="E140" s="181">
        <f>'Realisasi Sept'!G140</f>
        <v>1260421441.5699997</v>
      </c>
      <c r="F140" s="181">
        <v>54821212.509999998</v>
      </c>
      <c r="G140" s="181">
        <f>E140+F140</f>
        <v>1315242654.0799997</v>
      </c>
      <c r="H140" s="24" t="e">
        <f>G140/D140</f>
        <v>#DIV/0!</v>
      </c>
      <c r="I140" s="207"/>
      <c r="J140" s="175"/>
      <c r="L140" s="3"/>
    </row>
    <row r="141" spans="1:12" s="176" customFormat="1" x14ac:dyDescent="0.25">
      <c r="A141" s="169"/>
      <c r="B141" s="177"/>
      <c r="C141" s="193"/>
      <c r="D141" s="181"/>
      <c r="E141" s="181"/>
      <c r="F141" s="181"/>
      <c r="G141" s="192"/>
      <c r="H141" s="24"/>
      <c r="I141" s="207"/>
      <c r="J141" s="175"/>
      <c r="L141" s="3"/>
    </row>
    <row r="142" spans="1:12" s="176" customFormat="1" x14ac:dyDescent="0.25">
      <c r="A142" s="168" t="s">
        <v>62</v>
      </c>
      <c r="B142" s="179" t="s">
        <v>99</v>
      </c>
      <c r="C142" s="180" t="s">
        <v>100</v>
      </c>
      <c r="D142" s="191">
        <v>0</v>
      </c>
      <c r="E142" s="191">
        <f>'Realisasi April'!G135</f>
        <v>0</v>
      </c>
      <c r="F142" s="191">
        <v>0</v>
      </c>
      <c r="G142" s="191">
        <f>E142+F142</f>
        <v>0</v>
      </c>
      <c r="H142" s="236"/>
      <c r="I142" s="207"/>
      <c r="J142" s="175"/>
      <c r="L142" s="3"/>
    </row>
    <row r="143" spans="1:12" s="176" customFormat="1" x14ac:dyDescent="0.25">
      <c r="A143" s="169"/>
      <c r="B143" s="170"/>
      <c r="C143" s="185"/>
      <c r="D143" s="191"/>
      <c r="E143" s="191"/>
      <c r="F143" s="191"/>
      <c r="G143" s="191"/>
      <c r="H143" s="236"/>
      <c r="I143" s="207"/>
      <c r="J143" s="175"/>
      <c r="L143" s="3"/>
    </row>
    <row r="144" spans="1:12" s="176" customFormat="1" x14ac:dyDescent="0.25">
      <c r="A144" s="168" t="s">
        <v>66</v>
      </c>
      <c r="B144" s="189" t="s">
        <v>328</v>
      </c>
      <c r="C144" s="180" t="s">
        <v>101</v>
      </c>
      <c r="D144" s="191">
        <f>SUM(D145:D155)</f>
        <v>1175758877</v>
      </c>
      <c r="E144" s="191">
        <f t="shared" ref="E144:G144" si="60">SUM(E145:E155)</f>
        <v>1302510644</v>
      </c>
      <c r="F144" s="191">
        <f t="shared" si="60"/>
        <v>45754419</v>
      </c>
      <c r="G144" s="191">
        <f t="shared" si="60"/>
        <v>1348265063</v>
      </c>
      <c r="H144" s="236">
        <f t="shared" ref="H144:H152" si="61">G144/D144</f>
        <v>1.1467190164365648</v>
      </c>
      <c r="I144" s="207"/>
      <c r="J144" s="175"/>
      <c r="L144" s="3"/>
    </row>
    <row r="145" spans="1:12" s="176" customFormat="1" x14ac:dyDescent="0.25">
      <c r="A145" s="188"/>
      <c r="B145" s="190" t="s">
        <v>329</v>
      </c>
      <c r="C145" s="33" t="s">
        <v>102</v>
      </c>
      <c r="D145" s="192">
        <v>12881622</v>
      </c>
      <c r="E145" s="192">
        <f>'Realisasi Sept'!G145</f>
        <v>19716056</v>
      </c>
      <c r="F145" s="192">
        <v>1124320</v>
      </c>
      <c r="G145" s="192">
        <f>E145+F145</f>
        <v>20840376</v>
      </c>
      <c r="H145" s="24">
        <f t="shared" si="61"/>
        <v>1.617837877869728</v>
      </c>
      <c r="I145" s="207"/>
      <c r="J145" s="175"/>
      <c r="L145" s="3"/>
    </row>
    <row r="146" spans="1:12" s="176" customFormat="1" x14ac:dyDescent="0.25">
      <c r="A146" s="188"/>
      <c r="B146" s="190" t="s">
        <v>330</v>
      </c>
      <c r="C146" s="33" t="s">
        <v>103</v>
      </c>
      <c r="D146" s="192">
        <v>20147339</v>
      </c>
      <c r="E146" s="192">
        <f>'Realisasi Sept'!G146</f>
        <v>39357433</v>
      </c>
      <c r="F146" s="192">
        <v>3156120</v>
      </c>
      <c r="G146" s="192">
        <f t="shared" ref="G146:G154" si="62">E146+F146</f>
        <v>42513553</v>
      </c>
      <c r="H146" s="24">
        <f t="shared" si="61"/>
        <v>2.1101324100418424</v>
      </c>
      <c r="I146" s="207"/>
      <c r="J146" s="175"/>
      <c r="L146" s="3"/>
    </row>
    <row r="147" spans="1:12" s="176" customFormat="1" x14ac:dyDescent="0.25">
      <c r="A147" s="188"/>
      <c r="B147" s="190" t="s">
        <v>331</v>
      </c>
      <c r="C147" s="33" t="s">
        <v>104</v>
      </c>
      <c r="D147" s="192">
        <v>8222100</v>
      </c>
      <c r="E147" s="192">
        <f>'Realisasi Sept'!G147</f>
        <v>26542885</v>
      </c>
      <c r="F147" s="192">
        <v>246545</v>
      </c>
      <c r="G147" s="192">
        <f t="shared" si="62"/>
        <v>26789430</v>
      </c>
      <c r="H147" s="24">
        <f t="shared" si="61"/>
        <v>3.2582223519538802</v>
      </c>
      <c r="I147" s="207"/>
      <c r="J147" s="175"/>
      <c r="L147" s="3"/>
    </row>
    <row r="148" spans="1:12" s="176" customFormat="1" x14ac:dyDescent="0.25">
      <c r="A148" s="188"/>
      <c r="B148" s="190" t="s">
        <v>332</v>
      </c>
      <c r="C148" s="33" t="s">
        <v>105</v>
      </c>
      <c r="D148" s="192">
        <v>1112877</v>
      </c>
      <c r="E148" s="192">
        <f>'Realisasi Sept'!G148</f>
        <v>2085545</v>
      </c>
      <c r="F148" s="192">
        <v>0</v>
      </c>
      <c r="G148" s="192">
        <f t="shared" si="62"/>
        <v>2085545</v>
      </c>
      <c r="H148" s="24">
        <f t="shared" si="61"/>
        <v>1.8740121325177894</v>
      </c>
      <c r="I148" s="207"/>
      <c r="J148" s="175"/>
      <c r="L148" s="3"/>
    </row>
    <row r="149" spans="1:12" s="176" customFormat="1" x14ac:dyDescent="0.25">
      <c r="A149" s="188"/>
      <c r="B149" s="190" t="s">
        <v>333</v>
      </c>
      <c r="C149" s="33" t="s">
        <v>106</v>
      </c>
      <c r="D149" s="192">
        <v>818170264</v>
      </c>
      <c r="E149" s="192">
        <f>'Realisasi Sept'!G149</f>
        <v>862809026</v>
      </c>
      <c r="F149" s="192">
        <v>0</v>
      </c>
      <c r="G149" s="192">
        <f t="shared" si="62"/>
        <v>862809026</v>
      </c>
      <c r="H149" s="24">
        <f t="shared" si="61"/>
        <v>1.054559257362597</v>
      </c>
      <c r="I149" s="207"/>
      <c r="J149" s="175"/>
      <c r="L149" s="3"/>
    </row>
    <row r="150" spans="1:12" s="176" customFormat="1" x14ac:dyDescent="0.25">
      <c r="A150" s="188"/>
      <c r="B150" s="190" t="s">
        <v>334</v>
      </c>
      <c r="C150" s="33" t="s">
        <v>107</v>
      </c>
      <c r="D150" s="192">
        <v>2128173</v>
      </c>
      <c r="E150" s="192">
        <f>'Realisasi Sept'!G150</f>
        <v>5842281</v>
      </c>
      <c r="F150" s="192">
        <v>205176</v>
      </c>
      <c r="G150" s="192">
        <f t="shared" si="62"/>
        <v>6047457</v>
      </c>
      <c r="H150" s="24">
        <f t="shared" si="61"/>
        <v>2.8416190789000706</v>
      </c>
      <c r="I150" s="207"/>
      <c r="J150" s="175"/>
      <c r="L150" s="3"/>
    </row>
    <row r="151" spans="1:12" s="176" customFormat="1" x14ac:dyDescent="0.25">
      <c r="A151" s="188"/>
      <c r="B151" s="190" t="s">
        <v>335</v>
      </c>
      <c r="C151" s="33" t="s">
        <v>108</v>
      </c>
      <c r="D151" s="192">
        <v>11665567</v>
      </c>
      <c r="E151" s="192">
        <f>'Realisasi Sept'!G151</f>
        <v>16097045</v>
      </c>
      <c r="F151" s="192">
        <v>2224029</v>
      </c>
      <c r="G151" s="192">
        <f t="shared" si="62"/>
        <v>18321074</v>
      </c>
      <c r="H151" s="24">
        <f t="shared" si="61"/>
        <v>1.5705258047037063</v>
      </c>
      <c r="I151" s="207"/>
      <c r="J151" s="175"/>
      <c r="L151" s="3"/>
    </row>
    <row r="152" spans="1:12" s="176" customFormat="1" x14ac:dyDescent="0.25">
      <c r="A152" s="188"/>
      <c r="B152" s="190" t="s">
        <v>336</v>
      </c>
      <c r="C152" s="33" t="s">
        <v>109</v>
      </c>
      <c r="D152" s="192">
        <v>1001910</v>
      </c>
      <c r="E152" s="192">
        <f>'Realisasi Sept'!G152</f>
        <v>3727652</v>
      </c>
      <c r="F152" s="192">
        <v>464178</v>
      </c>
      <c r="G152" s="192">
        <f t="shared" si="62"/>
        <v>4191830</v>
      </c>
      <c r="H152" s="24">
        <f t="shared" si="61"/>
        <v>4.1838388677625735</v>
      </c>
      <c r="I152" s="207"/>
      <c r="J152" s="175"/>
      <c r="L152" s="3"/>
    </row>
    <row r="153" spans="1:12" s="176" customFormat="1" x14ac:dyDescent="0.25">
      <c r="A153" s="188"/>
      <c r="B153" s="190" t="s">
        <v>484</v>
      </c>
      <c r="C153" s="33" t="s">
        <v>482</v>
      </c>
      <c r="D153" s="192">
        <v>0</v>
      </c>
      <c r="E153" s="192">
        <f>'Realisasi Sept'!G153</f>
        <v>0</v>
      </c>
      <c r="F153" s="192"/>
      <c r="G153" s="192">
        <f t="shared" si="62"/>
        <v>0</v>
      </c>
      <c r="H153" s="24"/>
      <c r="I153" s="207"/>
      <c r="J153" s="175"/>
      <c r="L153" s="3"/>
    </row>
    <row r="154" spans="1:12" s="176" customFormat="1" x14ac:dyDescent="0.25">
      <c r="A154" s="188"/>
      <c r="B154" s="190" t="s">
        <v>337</v>
      </c>
      <c r="C154" s="33" t="s">
        <v>110</v>
      </c>
      <c r="D154" s="192">
        <v>300429025</v>
      </c>
      <c r="E154" s="192">
        <f>'Realisasi Sept'!G154</f>
        <v>326332721</v>
      </c>
      <c r="F154" s="192">
        <v>38334051</v>
      </c>
      <c r="G154" s="192">
        <f t="shared" si="62"/>
        <v>364666772</v>
      </c>
      <c r="H154" s="24">
        <f>G154/D154</f>
        <v>1.2138200428537156</v>
      </c>
      <c r="I154" s="207"/>
      <c r="J154" s="175"/>
      <c r="L154" s="3"/>
    </row>
    <row r="155" spans="1:12" s="176" customFormat="1" x14ac:dyDescent="0.25">
      <c r="A155" s="188"/>
      <c r="B155" s="190" t="s">
        <v>485</v>
      </c>
      <c r="C155" s="33" t="s">
        <v>483</v>
      </c>
      <c r="D155" s="192"/>
      <c r="E155" s="192">
        <f>'Realisasi Sept'!G155</f>
        <v>0</v>
      </c>
      <c r="F155" s="192"/>
      <c r="G155" s="192">
        <f>F155-D155</f>
        <v>0</v>
      </c>
      <c r="H155" s="24" t="e">
        <f>G155/D155</f>
        <v>#DIV/0!</v>
      </c>
      <c r="I155" s="207"/>
      <c r="J155" s="175"/>
      <c r="L155" s="3"/>
    </row>
    <row r="156" spans="1:12" s="176" customFormat="1" x14ac:dyDescent="0.25">
      <c r="A156" s="169"/>
      <c r="B156" s="170"/>
      <c r="C156" s="180"/>
      <c r="D156" s="191"/>
      <c r="E156" s="191"/>
      <c r="F156" s="191"/>
      <c r="G156" s="191"/>
      <c r="H156" s="24"/>
      <c r="I156" s="207"/>
      <c r="J156" s="175"/>
      <c r="L156" s="3"/>
    </row>
    <row r="157" spans="1:12" s="176" customFormat="1" x14ac:dyDescent="0.25">
      <c r="A157" s="168" t="s">
        <v>73</v>
      </c>
      <c r="B157" s="189" t="s">
        <v>327</v>
      </c>
      <c r="C157" s="185" t="s">
        <v>111</v>
      </c>
      <c r="D157" s="191"/>
      <c r="E157" s="191">
        <f>'Realisasi April'!G150</f>
        <v>0</v>
      </c>
      <c r="F157" s="191"/>
      <c r="G157" s="191"/>
      <c r="H157" s="236" t="e">
        <f t="shared" ref="H157" si="63">G157/D157</f>
        <v>#DIV/0!</v>
      </c>
      <c r="I157" s="207"/>
      <c r="J157" s="175"/>
      <c r="L157" s="3"/>
    </row>
    <row r="158" spans="1:12" s="176" customFormat="1" x14ac:dyDescent="0.25">
      <c r="A158" s="169"/>
      <c r="B158" s="170"/>
      <c r="C158" s="185"/>
      <c r="D158" s="191"/>
      <c r="E158" s="191"/>
      <c r="F158" s="191"/>
      <c r="G158" s="191"/>
      <c r="H158" s="236"/>
      <c r="I158" s="207"/>
      <c r="J158" s="175"/>
      <c r="L158" s="3"/>
    </row>
    <row r="159" spans="1:12" s="176" customFormat="1" x14ac:dyDescent="0.25">
      <c r="A159" s="168" t="s">
        <v>74</v>
      </c>
      <c r="B159" s="189" t="s">
        <v>338</v>
      </c>
      <c r="C159" s="34" t="s">
        <v>339</v>
      </c>
      <c r="D159" s="191">
        <f>D160+D163</f>
        <v>32560678</v>
      </c>
      <c r="E159" s="191">
        <f>E160+E163</f>
        <v>117341990</v>
      </c>
      <c r="F159" s="191">
        <f t="shared" ref="F159:G159" si="64">F160+F163</f>
        <v>10053660</v>
      </c>
      <c r="G159" s="191">
        <f t="shared" si="64"/>
        <v>127395650</v>
      </c>
      <c r="H159" s="277">
        <f>G159/D159</f>
        <v>3.9125613416280829</v>
      </c>
      <c r="I159" s="207"/>
      <c r="J159" s="175"/>
      <c r="L159" s="3"/>
    </row>
    <row r="160" spans="1:12" s="176" customFormat="1" x14ac:dyDescent="0.25">
      <c r="A160" s="169"/>
      <c r="B160" s="189" t="s">
        <v>596</v>
      </c>
      <c r="C160" s="180" t="s">
        <v>598</v>
      </c>
      <c r="D160" s="191">
        <f>D161</f>
        <v>15000000</v>
      </c>
      <c r="E160" s="191">
        <f>E161</f>
        <v>29925670</v>
      </c>
      <c r="F160" s="191">
        <f t="shared" ref="F160:G160" si="65">F161</f>
        <v>3344100</v>
      </c>
      <c r="G160" s="191">
        <f t="shared" si="65"/>
        <v>33269770</v>
      </c>
      <c r="H160" s="277">
        <f>G160/D160</f>
        <v>2.2179846666666667</v>
      </c>
      <c r="I160" s="207"/>
      <c r="J160" s="175"/>
      <c r="L160" s="3"/>
    </row>
    <row r="161" spans="1:12" s="176" customFormat="1" x14ac:dyDescent="0.25">
      <c r="A161" s="169"/>
      <c r="B161" s="190" t="s">
        <v>597</v>
      </c>
      <c r="C161" s="33" t="s">
        <v>598</v>
      </c>
      <c r="D161" s="192">
        <v>15000000</v>
      </c>
      <c r="E161" s="192">
        <f>'Realisasi Sept'!G161</f>
        <v>29925670</v>
      </c>
      <c r="F161" s="192">
        <v>3344100</v>
      </c>
      <c r="G161" s="192">
        <f>E161+F161</f>
        <v>33269770</v>
      </c>
      <c r="H161" s="278">
        <f>G161/D161</f>
        <v>2.2179846666666667</v>
      </c>
      <c r="I161" s="207"/>
      <c r="J161" s="175"/>
      <c r="L161" s="3"/>
    </row>
    <row r="162" spans="1:12" s="176" customFormat="1" x14ac:dyDescent="0.25">
      <c r="A162" s="169"/>
      <c r="B162" s="170"/>
      <c r="C162" s="180"/>
      <c r="D162" s="191"/>
      <c r="E162" s="191"/>
      <c r="F162" s="191"/>
      <c r="G162" s="191"/>
      <c r="H162" s="277"/>
      <c r="I162" s="207"/>
      <c r="J162" s="175"/>
      <c r="L162" s="3"/>
    </row>
    <row r="163" spans="1:12" s="176" customFormat="1" x14ac:dyDescent="0.25">
      <c r="A163" s="169"/>
      <c r="B163" s="189" t="s">
        <v>599</v>
      </c>
      <c r="C163" s="180" t="s">
        <v>601</v>
      </c>
      <c r="D163" s="191">
        <f>D164</f>
        <v>17560678</v>
      </c>
      <c r="E163" s="191">
        <f>E164</f>
        <v>87416320</v>
      </c>
      <c r="F163" s="191">
        <f t="shared" ref="F163:G163" si="66">F164</f>
        <v>6709560</v>
      </c>
      <c r="G163" s="191">
        <f t="shared" si="66"/>
        <v>94125880</v>
      </c>
      <c r="H163" s="277">
        <f>G163/D163</f>
        <v>5.360036782178911</v>
      </c>
      <c r="I163" s="207"/>
      <c r="J163" s="175"/>
      <c r="L163" s="3"/>
    </row>
    <row r="164" spans="1:12" s="176" customFormat="1" x14ac:dyDescent="0.25">
      <c r="A164" s="169"/>
      <c r="B164" s="190" t="s">
        <v>600</v>
      </c>
      <c r="C164" s="33" t="s">
        <v>601</v>
      </c>
      <c r="D164" s="192">
        <v>17560678</v>
      </c>
      <c r="E164" s="192">
        <f>'Realisasi Sept'!G164</f>
        <v>87416320</v>
      </c>
      <c r="F164" s="192">
        <v>6709560</v>
      </c>
      <c r="G164" s="192">
        <f>E164+F164</f>
        <v>94125880</v>
      </c>
      <c r="H164" s="278">
        <f>G164/D164</f>
        <v>5.360036782178911</v>
      </c>
      <c r="I164" s="207"/>
      <c r="J164" s="175"/>
      <c r="L164" s="3"/>
    </row>
    <row r="165" spans="1:12" s="176" customFormat="1" x14ac:dyDescent="0.25">
      <c r="A165" s="169"/>
      <c r="B165" s="190"/>
      <c r="C165" s="33"/>
      <c r="D165" s="192"/>
      <c r="E165" s="192"/>
      <c r="F165" s="192"/>
      <c r="G165" s="192"/>
      <c r="H165" s="278"/>
      <c r="I165" s="207"/>
      <c r="J165" s="175"/>
      <c r="L165" s="3"/>
    </row>
    <row r="166" spans="1:12" s="176" customFormat="1" x14ac:dyDescent="0.25">
      <c r="A166" s="168" t="s">
        <v>81</v>
      </c>
      <c r="B166" s="22" t="s">
        <v>306</v>
      </c>
      <c r="C166" s="185" t="s">
        <v>75</v>
      </c>
      <c r="D166" s="196">
        <v>145682205841</v>
      </c>
      <c r="E166" s="196">
        <f t="shared" ref="E166:G167" si="67">E167</f>
        <v>130330999123</v>
      </c>
      <c r="F166" s="196">
        <f t="shared" si="67"/>
        <v>11475852782</v>
      </c>
      <c r="G166" s="196">
        <f t="shared" si="67"/>
        <v>141806851905</v>
      </c>
      <c r="H166" s="236">
        <f t="shared" ref="H166:H198" si="68">G166/D166</f>
        <v>0.97339857730991786</v>
      </c>
      <c r="I166" s="207" t="s">
        <v>112</v>
      </c>
      <c r="J166" s="175"/>
      <c r="L166" s="3"/>
    </row>
    <row r="167" spans="1:12" s="176" customFormat="1" x14ac:dyDescent="0.25">
      <c r="A167" s="168"/>
      <c r="B167" s="189" t="s">
        <v>340</v>
      </c>
      <c r="C167" s="185" t="s">
        <v>341</v>
      </c>
      <c r="D167" s="196">
        <v>145682205841</v>
      </c>
      <c r="E167" s="196">
        <f t="shared" si="67"/>
        <v>130330999123</v>
      </c>
      <c r="F167" s="196">
        <f t="shared" si="67"/>
        <v>11475852782</v>
      </c>
      <c r="G167" s="196">
        <f t="shared" si="67"/>
        <v>141806851905</v>
      </c>
      <c r="H167" s="236">
        <f t="shared" si="68"/>
        <v>0.97339857730991786</v>
      </c>
      <c r="I167" s="207"/>
      <c r="J167" s="175"/>
      <c r="L167" s="3"/>
    </row>
    <row r="168" spans="1:12" s="176" customFormat="1" x14ac:dyDescent="0.25">
      <c r="A168" s="188"/>
      <c r="B168" s="178"/>
      <c r="C168" s="185" t="s">
        <v>113</v>
      </c>
      <c r="D168" s="196">
        <v>145682205841</v>
      </c>
      <c r="E168" s="191">
        <f t="shared" ref="E168:G168" si="69">E169+E176+E182+E185+E189+E192+E195+E198+E202</f>
        <v>130330999123</v>
      </c>
      <c r="F168" s="191">
        <f t="shared" si="69"/>
        <v>11475852782</v>
      </c>
      <c r="G168" s="191">
        <f t="shared" si="69"/>
        <v>141806851905</v>
      </c>
      <c r="H168" s="236">
        <f>G168/D168</f>
        <v>0.97339857730991786</v>
      </c>
      <c r="I168" s="207" t="s">
        <v>114</v>
      </c>
      <c r="J168" s="175"/>
      <c r="L168" s="3"/>
    </row>
    <row r="169" spans="1:12" s="176" customFormat="1" x14ac:dyDescent="0.25">
      <c r="A169" s="188"/>
      <c r="B169" s="178"/>
      <c r="C169" s="35" t="s">
        <v>115</v>
      </c>
      <c r="D169" s="191">
        <f>SUM(D170:D175)</f>
        <v>11999955000</v>
      </c>
      <c r="E169" s="191">
        <f t="shared" ref="E169:G169" si="70">SUM(E170:E175)</f>
        <v>7429559631</v>
      </c>
      <c r="F169" s="191">
        <f t="shared" si="70"/>
        <v>935086943</v>
      </c>
      <c r="G169" s="191">
        <f t="shared" si="70"/>
        <v>8364646574</v>
      </c>
      <c r="H169" s="236">
        <f t="shared" si="68"/>
        <v>0.69705649512852341</v>
      </c>
      <c r="I169" s="207"/>
      <c r="J169" s="175"/>
      <c r="L169" s="3"/>
    </row>
    <row r="170" spans="1:12" s="176" customFormat="1" x14ac:dyDescent="0.25">
      <c r="A170" s="188"/>
      <c r="B170" s="178"/>
      <c r="C170" s="171" t="s">
        <v>116</v>
      </c>
      <c r="D170" s="192">
        <v>945785000</v>
      </c>
      <c r="E170" s="192">
        <f>'Realisasi Sept'!G170</f>
        <v>645113544</v>
      </c>
      <c r="F170" s="192">
        <v>94038205</v>
      </c>
      <c r="G170" s="192">
        <f>E170+F170</f>
        <v>739151749</v>
      </c>
      <c r="H170" s="24">
        <f t="shared" si="68"/>
        <v>0.78152196217956516</v>
      </c>
      <c r="I170" s="207"/>
      <c r="J170" s="175"/>
      <c r="L170" s="3"/>
    </row>
    <row r="171" spans="1:12" s="176" customFormat="1" x14ac:dyDescent="0.25">
      <c r="A171" s="188"/>
      <c r="B171" s="178"/>
      <c r="C171" s="171" t="s">
        <v>117</v>
      </c>
      <c r="D171" s="192">
        <v>1858720000</v>
      </c>
      <c r="E171" s="192">
        <f>'Realisasi Sept'!G171</f>
        <v>1134590725</v>
      </c>
      <c r="F171" s="192">
        <v>105788423</v>
      </c>
      <c r="G171" s="192">
        <f t="shared" ref="G171:G175" si="71">E171+F171</f>
        <v>1240379148</v>
      </c>
      <c r="H171" s="24">
        <f t="shared" si="68"/>
        <v>0.66732974735301709</v>
      </c>
      <c r="I171" s="207"/>
      <c r="J171" s="175"/>
      <c r="L171" s="3"/>
    </row>
    <row r="172" spans="1:12" s="176" customFormat="1" x14ac:dyDescent="0.25">
      <c r="A172" s="188"/>
      <c r="B172" s="178"/>
      <c r="C172" s="171" t="s">
        <v>118</v>
      </c>
      <c r="D172" s="192">
        <v>5641950000</v>
      </c>
      <c r="E172" s="192">
        <f>'Realisasi Sept'!G172</f>
        <v>3142798485</v>
      </c>
      <c r="F172" s="192">
        <v>399905318</v>
      </c>
      <c r="G172" s="192">
        <f t="shared" si="71"/>
        <v>3542703803</v>
      </c>
      <c r="H172" s="24">
        <f t="shared" si="68"/>
        <v>0.62792187151605383</v>
      </c>
      <c r="I172" s="207"/>
      <c r="J172" s="175"/>
      <c r="L172" s="3"/>
    </row>
    <row r="173" spans="1:12" s="176" customFormat="1" x14ac:dyDescent="0.25">
      <c r="A173" s="188"/>
      <c r="B173" s="178"/>
      <c r="C173" s="171" t="s">
        <v>119</v>
      </c>
      <c r="D173" s="192">
        <v>1970100000</v>
      </c>
      <c r="E173" s="192">
        <f>'Realisasi Sept'!G173</f>
        <v>1262464603</v>
      </c>
      <c r="F173" s="192">
        <v>172624061</v>
      </c>
      <c r="G173" s="192">
        <f t="shared" si="71"/>
        <v>1435088664</v>
      </c>
      <c r="H173" s="24">
        <f t="shared" si="68"/>
        <v>0.72843442667884883</v>
      </c>
      <c r="I173" s="207"/>
      <c r="J173" s="175"/>
      <c r="L173" s="3"/>
    </row>
    <row r="174" spans="1:12" s="176" customFormat="1" x14ac:dyDescent="0.25">
      <c r="A174" s="188"/>
      <c r="B174" s="178"/>
      <c r="C174" s="171" t="s">
        <v>120</v>
      </c>
      <c r="D174" s="192">
        <v>70400000</v>
      </c>
      <c r="E174" s="192">
        <f>'Realisasi Sept'!G174</f>
        <v>30011800</v>
      </c>
      <c r="F174" s="192">
        <v>1203800</v>
      </c>
      <c r="G174" s="192">
        <f t="shared" si="71"/>
        <v>31215600</v>
      </c>
      <c r="H174" s="24">
        <f t="shared" si="68"/>
        <v>0.44340340909090908</v>
      </c>
      <c r="I174" s="207"/>
      <c r="J174" s="175"/>
      <c r="L174" s="3"/>
    </row>
    <row r="175" spans="1:12" s="176" customFormat="1" x14ac:dyDescent="0.25">
      <c r="A175" s="188"/>
      <c r="B175" s="178"/>
      <c r="C175" s="171" t="s">
        <v>121</v>
      </c>
      <c r="D175" s="192">
        <v>1513000000</v>
      </c>
      <c r="E175" s="192">
        <f>'Realisasi Sept'!G175</f>
        <v>1214580474</v>
      </c>
      <c r="F175" s="192">
        <v>161527136</v>
      </c>
      <c r="G175" s="192">
        <f t="shared" si="71"/>
        <v>1376107610</v>
      </c>
      <c r="H175" s="24">
        <f t="shared" si="68"/>
        <v>0.90952254461335091</v>
      </c>
      <c r="I175" s="207"/>
      <c r="J175" s="175"/>
      <c r="L175" s="3"/>
    </row>
    <row r="176" spans="1:12" s="176" customFormat="1" x14ac:dyDescent="0.25">
      <c r="A176" s="188"/>
      <c r="B176" s="178"/>
      <c r="C176" s="185" t="s">
        <v>122</v>
      </c>
      <c r="D176" s="191">
        <f>SUM(D177:D181)</f>
        <v>64267216000</v>
      </c>
      <c r="E176" s="191">
        <f>'Realisasi Sept'!G176</f>
        <v>52919049974</v>
      </c>
      <c r="F176" s="191">
        <f t="shared" ref="F176:G176" si="72">SUM(F177:F181)</f>
        <v>9924962716</v>
      </c>
      <c r="G176" s="191">
        <f t="shared" si="72"/>
        <v>62844012690</v>
      </c>
      <c r="H176" s="236">
        <f t="shared" si="68"/>
        <v>0.9778549095700676</v>
      </c>
      <c r="I176" s="207"/>
      <c r="J176" s="175"/>
      <c r="L176" s="3"/>
    </row>
    <row r="177" spans="1:12" s="176" customFormat="1" x14ac:dyDescent="0.25">
      <c r="A177" s="188"/>
      <c r="B177" s="178"/>
      <c r="C177" s="171" t="s">
        <v>117</v>
      </c>
      <c r="D177" s="192">
        <v>20349000000</v>
      </c>
      <c r="E177" s="192">
        <f>'Realisasi Sept'!G177</f>
        <v>16511816100</v>
      </c>
      <c r="F177" s="192">
        <v>2550795500</v>
      </c>
      <c r="G177" s="192">
        <f>E177+F177</f>
        <v>19062611600</v>
      </c>
      <c r="H177" s="24">
        <f t="shared" si="68"/>
        <v>0.93678370435893654</v>
      </c>
      <c r="I177" s="207"/>
      <c r="J177" s="175"/>
      <c r="L177" s="3"/>
    </row>
    <row r="178" spans="1:12" s="176" customFormat="1" x14ac:dyDescent="0.25">
      <c r="A178" s="188"/>
      <c r="B178" s="178"/>
      <c r="C178" s="171" t="s">
        <v>118</v>
      </c>
      <c r="D178" s="192">
        <v>41013056000</v>
      </c>
      <c r="E178" s="192">
        <f>'Realisasi Sept'!G178</f>
        <v>33838411839</v>
      </c>
      <c r="F178" s="192">
        <v>7328267216</v>
      </c>
      <c r="G178" s="192">
        <f t="shared" ref="G178:G181" si="73">E178+F178</f>
        <v>41166679055</v>
      </c>
      <c r="H178" s="24">
        <f t="shared" si="68"/>
        <v>1.0037457109999313</v>
      </c>
      <c r="I178" s="207"/>
      <c r="J178" s="175"/>
      <c r="L178" s="3"/>
    </row>
    <row r="179" spans="1:12" s="176" customFormat="1" x14ac:dyDescent="0.25">
      <c r="A179" s="188"/>
      <c r="B179" s="178"/>
      <c r="C179" s="171" t="s">
        <v>123</v>
      </c>
      <c r="D179" s="192">
        <v>287520000</v>
      </c>
      <c r="E179" s="192">
        <f>'Realisasi Sept'!G179</f>
        <v>263250000</v>
      </c>
      <c r="F179" s="192">
        <v>22500000</v>
      </c>
      <c r="G179" s="192">
        <f t="shared" si="73"/>
        <v>285750000</v>
      </c>
      <c r="H179" s="24">
        <f t="shared" si="68"/>
        <v>0.99384390651085142</v>
      </c>
      <c r="I179" s="207"/>
      <c r="J179" s="175"/>
      <c r="L179" s="3"/>
    </row>
    <row r="180" spans="1:12" s="176" customFormat="1" x14ac:dyDescent="0.25">
      <c r="A180" s="188"/>
      <c r="B180" s="178"/>
      <c r="C180" s="171" t="s">
        <v>124</v>
      </c>
      <c r="D180" s="192">
        <v>2461640000</v>
      </c>
      <c r="E180" s="192">
        <f>'Realisasi Sept'!G180</f>
        <v>2145734435</v>
      </c>
      <c r="F180" s="192">
        <v>0</v>
      </c>
      <c r="G180" s="192">
        <f t="shared" si="73"/>
        <v>2145734435</v>
      </c>
      <c r="H180" s="24">
        <f t="shared" si="68"/>
        <v>0.87166865788661219</v>
      </c>
      <c r="I180" s="207"/>
      <c r="J180" s="175"/>
      <c r="L180" s="3"/>
    </row>
    <row r="181" spans="1:12" s="176" customFormat="1" x14ac:dyDescent="0.25">
      <c r="A181" s="188"/>
      <c r="B181" s="178"/>
      <c r="C181" s="171" t="s">
        <v>120</v>
      </c>
      <c r="D181" s="192">
        <v>156000000</v>
      </c>
      <c r="E181" s="192">
        <f>'Realisasi Sept'!G181</f>
        <v>159837600</v>
      </c>
      <c r="F181" s="192">
        <v>23400000</v>
      </c>
      <c r="G181" s="192">
        <f t="shared" si="73"/>
        <v>183237600</v>
      </c>
      <c r="H181" s="24">
        <f t="shared" si="68"/>
        <v>1.1746000000000001</v>
      </c>
      <c r="I181" s="207"/>
      <c r="J181" s="175"/>
      <c r="L181" s="3"/>
    </row>
    <row r="182" spans="1:12" s="176" customFormat="1" x14ac:dyDescent="0.25">
      <c r="A182" s="188"/>
      <c r="B182" s="178"/>
      <c r="C182" s="185" t="s">
        <v>125</v>
      </c>
      <c r="D182" s="191">
        <f>SUM(D183:D184)</f>
        <v>62996250000</v>
      </c>
      <c r="E182" s="191">
        <f>'Realisasi Sept'!G182</f>
        <v>63455403900</v>
      </c>
      <c r="F182" s="191">
        <f t="shared" ref="F182:G182" si="74">SUM(F183:F184)</f>
        <v>0</v>
      </c>
      <c r="G182" s="191">
        <f t="shared" si="74"/>
        <v>63455403900</v>
      </c>
      <c r="H182" s="236">
        <f t="shared" si="68"/>
        <v>1.0072885909875589</v>
      </c>
      <c r="I182" s="207"/>
      <c r="J182" s="175"/>
      <c r="L182" s="3"/>
    </row>
    <row r="183" spans="1:12" s="176" customFormat="1" x14ac:dyDescent="0.25">
      <c r="A183" s="188"/>
      <c r="B183" s="178"/>
      <c r="C183" s="171" t="s">
        <v>117</v>
      </c>
      <c r="D183" s="192">
        <v>96250000</v>
      </c>
      <c r="E183" s="192">
        <f>'Realisasi Sept'!G183</f>
        <v>89200600</v>
      </c>
      <c r="F183" s="192">
        <v>0</v>
      </c>
      <c r="G183" s="192">
        <f>E183+F183</f>
        <v>89200600</v>
      </c>
      <c r="H183" s="24">
        <f t="shared" si="68"/>
        <v>0.92675948051948054</v>
      </c>
      <c r="I183" s="207"/>
      <c r="J183" s="175"/>
      <c r="L183" s="3"/>
    </row>
    <row r="184" spans="1:12" s="176" customFormat="1" x14ac:dyDescent="0.25">
      <c r="A184" s="188"/>
      <c r="B184" s="178"/>
      <c r="C184" s="171" t="s">
        <v>118</v>
      </c>
      <c r="D184" s="192">
        <v>62900000000</v>
      </c>
      <c r="E184" s="192">
        <f>'Realisasi Sept'!G184</f>
        <v>63366203300</v>
      </c>
      <c r="F184" s="192">
        <v>0</v>
      </c>
      <c r="G184" s="192">
        <f>E184+F184</f>
        <v>63366203300</v>
      </c>
      <c r="H184" s="24">
        <f t="shared" si="68"/>
        <v>1.0074118171701112</v>
      </c>
      <c r="I184" s="207"/>
      <c r="J184" s="175"/>
      <c r="L184" s="3"/>
    </row>
    <row r="185" spans="1:12" s="176" customFormat="1" x14ac:dyDescent="0.25">
      <c r="A185" s="188"/>
      <c r="B185" s="178"/>
      <c r="C185" s="185" t="s">
        <v>126</v>
      </c>
      <c r="D185" s="191">
        <f>SUM(D186:D188)</f>
        <v>3270668000</v>
      </c>
      <c r="E185" s="191">
        <f>'Realisasi Sept'!G185</f>
        <v>3628597514</v>
      </c>
      <c r="F185" s="191">
        <f t="shared" ref="F185:G185" si="75">SUM(F186:F188)</f>
        <v>196954360</v>
      </c>
      <c r="G185" s="191">
        <f t="shared" si="75"/>
        <v>3825551874</v>
      </c>
      <c r="H185" s="236">
        <f t="shared" si="68"/>
        <v>1.1696546008338358</v>
      </c>
      <c r="I185" s="207"/>
      <c r="J185" s="175"/>
      <c r="L185" s="3"/>
    </row>
    <row r="186" spans="1:12" s="176" customFormat="1" x14ac:dyDescent="0.25">
      <c r="A186" s="188"/>
      <c r="B186" s="178"/>
      <c r="C186" s="171" t="s">
        <v>117</v>
      </c>
      <c r="D186" s="192">
        <v>583188000</v>
      </c>
      <c r="E186" s="192">
        <f>'Realisasi Sept'!G186</f>
        <v>490156738</v>
      </c>
      <c r="F186" s="192">
        <v>28718980</v>
      </c>
      <c r="G186" s="192">
        <f>E186+F186</f>
        <v>518875718</v>
      </c>
      <c r="H186" s="24">
        <f t="shared" si="68"/>
        <v>0.88972289896225576</v>
      </c>
      <c r="I186" s="207" t="s">
        <v>127</v>
      </c>
      <c r="J186" s="175"/>
      <c r="L186" s="3"/>
    </row>
    <row r="187" spans="1:12" s="176" customFormat="1" x14ac:dyDescent="0.25">
      <c r="A187" s="188"/>
      <c r="B187" s="178"/>
      <c r="C187" s="171" t="s">
        <v>118</v>
      </c>
      <c r="D187" s="192">
        <v>2192520000</v>
      </c>
      <c r="E187" s="192">
        <f>'Realisasi Sept'!G187</f>
        <v>2523384698</v>
      </c>
      <c r="F187" s="192">
        <v>133502480</v>
      </c>
      <c r="G187" s="192">
        <f t="shared" ref="G187:G188" si="76">E187+F187</f>
        <v>2656887178</v>
      </c>
      <c r="H187" s="24">
        <f t="shared" si="68"/>
        <v>1.2117960967288781</v>
      </c>
      <c r="I187" s="207"/>
      <c r="J187" s="175"/>
      <c r="L187" s="3"/>
    </row>
    <row r="188" spans="1:12" s="176" customFormat="1" x14ac:dyDescent="0.25">
      <c r="A188" s="188"/>
      <c r="B188" s="178"/>
      <c r="C188" s="171" t="s">
        <v>128</v>
      </c>
      <c r="D188" s="192">
        <v>494960000</v>
      </c>
      <c r="E188" s="192">
        <f>'Realisasi Sept'!G188</f>
        <v>615056078</v>
      </c>
      <c r="F188" s="192">
        <v>34732900</v>
      </c>
      <c r="G188" s="192">
        <f t="shared" si="76"/>
        <v>649788978</v>
      </c>
      <c r="H188" s="24">
        <f t="shared" si="68"/>
        <v>1.3128110918053983</v>
      </c>
      <c r="I188" s="207"/>
      <c r="J188" s="175"/>
      <c r="L188" s="3"/>
    </row>
    <row r="189" spans="1:12" s="176" customFormat="1" x14ac:dyDescent="0.25">
      <c r="A189" s="169"/>
      <c r="B189" s="178"/>
      <c r="C189" s="185" t="s">
        <v>129</v>
      </c>
      <c r="D189" s="191">
        <f>SUM(D190:D191)</f>
        <v>2397579000</v>
      </c>
      <c r="E189" s="191">
        <f>'Realisasi Sept'!G189</f>
        <v>1975768485</v>
      </c>
      <c r="F189" s="191">
        <f t="shared" ref="F189:G189" si="77">SUM(F190:F191)</f>
        <v>0</v>
      </c>
      <c r="G189" s="191">
        <f t="shared" si="77"/>
        <v>1975768485</v>
      </c>
      <c r="H189" s="236">
        <f t="shared" si="68"/>
        <v>0.82406814749378432</v>
      </c>
      <c r="I189" s="207"/>
      <c r="J189" s="175"/>
      <c r="L189" s="3"/>
    </row>
    <row r="190" spans="1:12" s="176" customFormat="1" x14ac:dyDescent="0.25">
      <c r="A190" s="188"/>
      <c r="B190" s="178"/>
      <c r="C190" s="171" t="s">
        <v>117</v>
      </c>
      <c r="D190" s="192">
        <v>57579000</v>
      </c>
      <c r="E190" s="192">
        <f>'Realisasi Sept'!G190</f>
        <v>199432552</v>
      </c>
      <c r="F190" s="192">
        <v>0</v>
      </c>
      <c r="G190" s="192">
        <f>E190+F190</f>
        <v>199432552</v>
      </c>
      <c r="H190" s="24">
        <f t="shared" si="68"/>
        <v>3.4636334774831101</v>
      </c>
      <c r="I190" s="207"/>
      <c r="J190" s="175"/>
      <c r="L190" s="3"/>
    </row>
    <row r="191" spans="1:12" s="176" customFormat="1" x14ac:dyDescent="0.25">
      <c r="A191" s="188"/>
      <c r="B191" s="178"/>
      <c r="C191" s="171" t="s">
        <v>118</v>
      </c>
      <c r="D191" s="192">
        <v>2340000000</v>
      </c>
      <c r="E191" s="192">
        <f>'Realisasi Sept'!G191</f>
        <v>1776335933</v>
      </c>
      <c r="F191" s="192">
        <v>0</v>
      </c>
      <c r="G191" s="192">
        <f>E191+F191</f>
        <v>1776335933</v>
      </c>
      <c r="H191" s="24">
        <f t="shared" si="68"/>
        <v>0.75911792008547008</v>
      </c>
      <c r="I191" s="207"/>
      <c r="J191" s="175"/>
      <c r="L191" s="3"/>
    </row>
    <row r="192" spans="1:12" s="176" customFormat="1" x14ac:dyDescent="0.25">
      <c r="A192" s="188"/>
      <c r="B192" s="178"/>
      <c r="C192" s="185" t="s">
        <v>130</v>
      </c>
      <c r="D192" s="191">
        <v>0</v>
      </c>
      <c r="E192" s="191">
        <f>'Realisasi Sept'!G192</f>
        <v>0</v>
      </c>
      <c r="F192" s="191">
        <f t="shared" ref="F192:G192" si="78">SUM(F193:F194)</f>
        <v>0</v>
      </c>
      <c r="G192" s="191">
        <f t="shared" si="78"/>
        <v>0</v>
      </c>
      <c r="H192" s="236" t="e">
        <f t="shared" si="68"/>
        <v>#DIV/0!</v>
      </c>
      <c r="I192" s="207"/>
      <c r="J192" s="175"/>
      <c r="L192" s="3"/>
    </row>
    <row r="193" spans="1:12" s="176" customFormat="1" x14ac:dyDescent="0.25">
      <c r="A193" s="188"/>
      <c r="B193" s="178"/>
      <c r="C193" s="171" t="s">
        <v>117</v>
      </c>
      <c r="D193" s="192">
        <v>0</v>
      </c>
      <c r="E193" s="192">
        <f>'Realisasi Sept'!G193</f>
        <v>0</v>
      </c>
      <c r="F193" s="192"/>
      <c r="G193" s="192">
        <f>E193+F193</f>
        <v>0</v>
      </c>
      <c r="H193" s="24" t="e">
        <f t="shared" si="68"/>
        <v>#DIV/0!</v>
      </c>
      <c r="I193" s="207"/>
      <c r="J193" s="175"/>
      <c r="L193" s="3"/>
    </row>
    <row r="194" spans="1:12" s="176" customFormat="1" x14ac:dyDescent="0.25">
      <c r="A194" s="188"/>
      <c r="B194" s="178"/>
      <c r="C194" s="171" t="s">
        <v>118</v>
      </c>
      <c r="D194" s="192">
        <v>0</v>
      </c>
      <c r="E194" s="192">
        <f>'Realisasi Sept'!G194</f>
        <v>0</v>
      </c>
      <c r="F194" s="192"/>
      <c r="G194" s="192">
        <f>E194+F194</f>
        <v>0</v>
      </c>
      <c r="H194" s="24" t="e">
        <f t="shared" si="68"/>
        <v>#DIV/0!</v>
      </c>
      <c r="I194" s="207"/>
      <c r="J194" s="175"/>
      <c r="L194" s="3"/>
    </row>
    <row r="195" spans="1:12" s="176" customFormat="1" x14ac:dyDescent="0.25">
      <c r="A195" s="188"/>
      <c r="B195" s="178"/>
      <c r="C195" s="185" t="s">
        <v>131</v>
      </c>
      <c r="D195" s="191">
        <f>SUM(D196:D197)</f>
        <v>90525000</v>
      </c>
      <c r="E195" s="191">
        <f>'Realisasi Sept'!G195</f>
        <v>309809211</v>
      </c>
      <c r="F195" s="191">
        <f t="shared" ref="F195:G195" si="79">SUM(F196:F197)</f>
        <v>0</v>
      </c>
      <c r="G195" s="191">
        <f t="shared" si="79"/>
        <v>309809211</v>
      </c>
      <c r="H195" s="236">
        <f t="shared" si="68"/>
        <v>3.4223607953603978</v>
      </c>
      <c r="I195" s="207"/>
      <c r="J195" s="175"/>
      <c r="L195" s="3"/>
    </row>
    <row r="196" spans="1:12" s="176" customFormat="1" x14ac:dyDescent="0.25">
      <c r="A196" s="188"/>
      <c r="B196" s="178"/>
      <c r="C196" s="171" t="s">
        <v>117</v>
      </c>
      <c r="D196" s="192">
        <v>525000</v>
      </c>
      <c r="E196" s="192">
        <f>'Realisasi Sept'!G196</f>
        <v>3549441</v>
      </c>
      <c r="F196" s="192">
        <v>0</v>
      </c>
      <c r="G196" s="192">
        <f>E196+F196</f>
        <v>3549441</v>
      </c>
      <c r="H196" s="24">
        <f t="shared" si="68"/>
        <v>6.76084</v>
      </c>
      <c r="I196" s="207"/>
      <c r="J196" s="175"/>
      <c r="L196" s="3"/>
    </row>
    <row r="197" spans="1:12" s="176" customFormat="1" x14ac:dyDescent="0.25">
      <c r="A197" s="188"/>
      <c r="B197" s="178"/>
      <c r="C197" s="171" t="s">
        <v>118</v>
      </c>
      <c r="D197" s="192">
        <v>90000000</v>
      </c>
      <c r="E197" s="192">
        <f>'Realisasi Sept'!G197</f>
        <v>306259770</v>
      </c>
      <c r="F197" s="192">
        <v>0</v>
      </c>
      <c r="G197" s="192">
        <f>E197+F197</f>
        <v>306259770</v>
      </c>
      <c r="H197" s="24">
        <f t="shared" si="68"/>
        <v>3.4028863333333335</v>
      </c>
      <c r="I197" s="207"/>
      <c r="J197" s="175"/>
      <c r="L197" s="3"/>
    </row>
    <row r="198" spans="1:12" s="176" customFormat="1" x14ac:dyDescent="0.25">
      <c r="A198" s="188"/>
      <c r="B198" s="178"/>
      <c r="C198" s="185" t="s">
        <v>132</v>
      </c>
      <c r="D198" s="191">
        <f>SUM(D199:D201)</f>
        <v>510012841</v>
      </c>
      <c r="E198" s="191">
        <f>'Realisasi Sept'!G198</f>
        <v>376170000</v>
      </c>
      <c r="F198" s="191">
        <f t="shared" ref="F198:G198" si="80">SUM(F199:F201)</f>
        <v>404575000</v>
      </c>
      <c r="G198" s="191">
        <f t="shared" si="80"/>
        <v>780745000</v>
      </c>
      <c r="H198" s="236">
        <f t="shared" si="68"/>
        <v>1.5308340050206697</v>
      </c>
      <c r="I198" s="207"/>
      <c r="J198" s="175"/>
      <c r="L198" s="3"/>
    </row>
    <row r="199" spans="1:12" s="176" customFormat="1" x14ac:dyDescent="0.25">
      <c r="A199" s="188"/>
      <c r="B199" s="178"/>
      <c r="C199" s="171" t="s">
        <v>133</v>
      </c>
      <c r="D199" s="192"/>
      <c r="E199" s="192">
        <f>'Realisasi Sept'!G199</f>
        <v>0</v>
      </c>
      <c r="F199" s="192">
        <v>0</v>
      </c>
      <c r="G199" s="192">
        <f>E199+F199</f>
        <v>0</v>
      </c>
      <c r="H199" s="24"/>
      <c r="I199" s="207"/>
      <c r="J199" s="175"/>
      <c r="L199" s="3"/>
    </row>
    <row r="200" spans="1:12" s="176" customFormat="1" x14ac:dyDescent="0.25">
      <c r="A200" s="188"/>
      <c r="B200" s="178"/>
      <c r="C200" s="171" t="s">
        <v>722</v>
      </c>
      <c r="D200" s="192">
        <v>80012841</v>
      </c>
      <c r="E200" s="192">
        <f>'Realisasi Sept'!G200</f>
        <v>76200000</v>
      </c>
      <c r="F200" s="192">
        <v>20100000</v>
      </c>
      <c r="G200" s="192">
        <f t="shared" ref="G200:G201" si="81">E200+F200</f>
        <v>96300000</v>
      </c>
      <c r="H200" s="24">
        <f>G200/D200</f>
        <v>1.2035568140868789</v>
      </c>
      <c r="I200" s="207" t="s">
        <v>135</v>
      </c>
      <c r="J200" s="175"/>
      <c r="L200" s="3"/>
    </row>
    <row r="201" spans="1:12" s="176" customFormat="1" x14ac:dyDescent="0.25">
      <c r="A201" s="188"/>
      <c r="B201" s="178"/>
      <c r="C201" s="171" t="s">
        <v>136</v>
      </c>
      <c r="D201" s="192">
        <v>430000000</v>
      </c>
      <c r="E201" s="192">
        <f>'Realisasi Sept'!G201</f>
        <v>299970000</v>
      </c>
      <c r="F201" s="192">
        <v>384475000</v>
      </c>
      <c r="G201" s="192">
        <f t="shared" si="81"/>
        <v>684445000</v>
      </c>
      <c r="H201" s="24">
        <f>G201/D201</f>
        <v>1.591732558139535</v>
      </c>
      <c r="I201" s="207"/>
      <c r="J201" s="175"/>
      <c r="L201" s="3"/>
    </row>
    <row r="202" spans="1:12" s="176" customFormat="1" x14ac:dyDescent="0.25">
      <c r="A202" s="188"/>
      <c r="B202" s="178"/>
      <c r="C202" s="185" t="s">
        <v>137</v>
      </c>
      <c r="D202" s="191">
        <f>SUM(D203:D204)</f>
        <v>150000000</v>
      </c>
      <c r="E202" s="191">
        <f>'Realisasi Sept'!G202</f>
        <v>236640408</v>
      </c>
      <c r="F202" s="191">
        <f t="shared" ref="F202:G202" si="82">SUM(F203:F204)</f>
        <v>14273763</v>
      </c>
      <c r="G202" s="191">
        <f t="shared" si="82"/>
        <v>250914171</v>
      </c>
      <c r="H202" s="236">
        <f>G202/D202</f>
        <v>1.67276114</v>
      </c>
      <c r="I202" s="207"/>
      <c r="J202" s="175"/>
      <c r="L202" s="3"/>
    </row>
    <row r="203" spans="1:12" s="176" customFormat="1" x14ac:dyDescent="0.25">
      <c r="A203" s="188"/>
      <c r="B203" s="178"/>
      <c r="C203" s="171" t="s">
        <v>138</v>
      </c>
      <c r="D203" s="192">
        <v>150000000</v>
      </c>
      <c r="E203" s="192">
        <f>'Realisasi Sept'!G203</f>
        <v>236640408</v>
      </c>
      <c r="F203" s="192">
        <v>14273763</v>
      </c>
      <c r="G203" s="192">
        <f>E203+F203</f>
        <v>250914171</v>
      </c>
      <c r="H203" s="24">
        <f>G203/D203</f>
        <v>1.67276114</v>
      </c>
      <c r="I203" s="207" t="s">
        <v>139</v>
      </c>
      <c r="J203" s="175"/>
      <c r="L203" s="3"/>
    </row>
    <row r="204" spans="1:12" s="176" customFormat="1" x14ac:dyDescent="0.25">
      <c r="A204" s="188"/>
      <c r="B204" s="178"/>
      <c r="C204" s="171" t="s">
        <v>140</v>
      </c>
      <c r="D204" s="192">
        <v>0</v>
      </c>
      <c r="E204" s="192">
        <f>'Realisasi Sept'!G204</f>
        <v>0</v>
      </c>
      <c r="F204" s="192"/>
      <c r="G204" s="192">
        <f>E204+F204</f>
        <v>0</v>
      </c>
      <c r="H204" s="24" t="e">
        <f>G204/D204</f>
        <v>#DIV/0!</v>
      </c>
      <c r="I204" s="207"/>
      <c r="J204" s="175"/>
      <c r="L204" s="3"/>
    </row>
    <row r="205" spans="1:12" s="176" customFormat="1" x14ac:dyDescent="0.25">
      <c r="A205" s="188"/>
      <c r="B205" s="178"/>
      <c r="C205" s="171"/>
      <c r="D205" s="192"/>
      <c r="E205" s="192">
        <f>'Realisasi Sept'!G205</f>
        <v>0</v>
      </c>
      <c r="F205" s="192"/>
      <c r="G205" s="191"/>
      <c r="H205" s="236"/>
      <c r="I205" s="207"/>
      <c r="J205" s="175"/>
      <c r="L205" s="3"/>
    </row>
    <row r="206" spans="1:12" s="176" customFormat="1" x14ac:dyDescent="0.25">
      <c r="A206" s="168" t="s">
        <v>452</v>
      </c>
      <c r="B206" s="22" t="s">
        <v>306</v>
      </c>
      <c r="C206" s="185" t="s">
        <v>75</v>
      </c>
      <c r="D206" s="191">
        <f>SUM(D207)</f>
        <v>14221114110</v>
      </c>
      <c r="E206" s="191">
        <f>'Realisasi Sept'!G206</f>
        <v>10323319197.99</v>
      </c>
      <c r="F206" s="191">
        <f t="shared" ref="F206:G206" si="83">SUM(F207)</f>
        <v>1199134631.28</v>
      </c>
      <c r="G206" s="191">
        <f t="shared" si="83"/>
        <v>11522453829.27</v>
      </c>
      <c r="H206" s="236">
        <f t="shared" ref="H206:H218" si="84">G206/D206</f>
        <v>0.81023566368598676</v>
      </c>
      <c r="I206" s="207" t="s">
        <v>141</v>
      </c>
      <c r="J206" s="175"/>
      <c r="L206" s="3"/>
    </row>
    <row r="207" spans="1:12" s="176" customFormat="1" x14ac:dyDescent="0.25">
      <c r="A207" s="188"/>
      <c r="B207" s="189" t="s">
        <v>340</v>
      </c>
      <c r="C207" s="185" t="s">
        <v>341</v>
      </c>
      <c r="D207" s="191">
        <f>D208</f>
        <v>14221114110</v>
      </c>
      <c r="E207" s="191">
        <f>'Realisasi Sept'!G207</f>
        <v>10323319197.99</v>
      </c>
      <c r="F207" s="191">
        <f t="shared" ref="F207:G207" si="85">F208</f>
        <v>1199134631.28</v>
      </c>
      <c r="G207" s="191">
        <f t="shared" si="85"/>
        <v>11522453829.27</v>
      </c>
      <c r="H207" s="236">
        <f t="shared" si="84"/>
        <v>0.81023566368598676</v>
      </c>
      <c r="I207" s="207" t="s">
        <v>143</v>
      </c>
      <c r="J207" s="294"/>
      <c r="K207" s="295"/>
      <c r="L207" s="403"/>
    </row>
    <row r="208" spans="1:12" s="176" customFormat="1" x14ac:dyDescent="0.25">
      <c r="A208" s="188"/>
      <c r="B208" s="178"/>
      <c r="C208" s="172" t="s">
        <v>142</v>
      </c>
      <c r="D208" s="191">
        <f>SUM(D209:D218)</f>
        <v>14221114110</v>
      </c>
      <c r="E208" s="191">
        <f>SUM(E209:E218)</f>
        <v>10323319197.99</v>
      </c>
      <c r="F208" s="191">
        <f t="shared" ref="F208:G208" si="86">SUM(F209:F218)</f>
        <v>1199134631.28</v>
      </c>
      <c r="G208" s="191">
        <f t="shared" si="86"/>
        <v>11522453829.27</v>
      </c>
      <c r="H208" s="236">
        <f t="shared" si="84"/>
        <v>0.81023566368598676</v>
      </c>
      <c r="I208" s="207"/>
      <c r="J208" s="294"/>
      <c r="K208" s="295"/>
      <c r="L208" s="403"/>
    </row>
    <row r="209" spans="1:12" s="176" customFormat="1" x14ac:dyDescent="0.25">
      <c r="A209" s="188"/>
      <c r="B209" s="178"/>
      <c r="C209" s="171" t="s">
        <v>144</v>
      </c>
      <c r="D209" s="192">
        <v>1799030500</v>
      </c>
      <c r="E209" s="192">
        <f>'Realisasi Sept'!G209</f>
        <v>1213779142.6699998</v>
      </c>
      <c r="F209" s="192">
        <v>144377326.33000001</v>
      </c>
      <c r="G209" s="192">
        <f>E209+F209</f>
        <v>1358156468.9999998</v>
      </c>
      <c r="H209" s="24">
        <f t="shared" si="84"/>
        <v>0.75493798965609515</v>
      </c>
      <c r="I209" s="207" t="s">
        <v>145</v>
      </c>
      <c r="J209" s="294"/>
      <c r="K209" s="296"/>
      <c r="L209" s="403"/>
    </row>
    <row r="210" spans="1:12" s="176" customFormat="1" x14ac:dyDescent="0.25">
      <c r="A210" s="188"/>
      <c r="B210" s="178"/>
      <c r="C210" s="171" t="s">
        <v>146</v>
      </c>
      <c r="D210" s="192">
        <v>1055000000</v>
      </c>
      <c r="E210" s="192">
        <f>'Realisasi Sept'!G210</f>
        <v>779049833.17999995</v>
      </c>
      <c r="F210" s="192">
        <v>87803612.939999998</v>
      </c>
      <c r="G210" s="192">
        <f t="shared" ref="G210:G218" si="87">E210+F210</f>
        <v>866853446.11999989</v>
      </c>
      <c r="H210" s="24">
        <f t="shared" si="84"/>
        <v>0.82166203423696671</v>
      </c>
      <c r="I210" s="207"/>
      <c r="J210" s="294"/>
      <c r="K210" s="296"/>
      <c r="L210" s="403"/>
    </row>
    <row r="211" spans="1:12" s="176" customFormat="1" x14ac:dyDescent="0.25">
      <c r="A211" s="188"/>
      <c r="B211" s="178"/>
      <c r="C211" s="171" t="s">
        <v>147</v>
      </c>
      <c r="D211" s="192">
        <v>1300000000</v>
      </c>
      <c r="E211" s="192">
        <f>'Realisasi Sept'!G211</f>
        <v>951733881.01999998</v>
      </c>
      <c r="F211" s="192">
        <v>123877628.7</v>
      </c>
      <c r="G211" s="192">
        <f t="shared" si="87"/>
        <v>1075611509.72</v>
      </c>
      <c r="H211" s="24">
        <f t="shared" si="84"/>
        <v>0.82739346901538469</v>
      </c>
      <c r="I211" s="207" t="s">
        <v>148</v>
      </c>
      <c r="J211" s="294"/>
      <c r="K211" s="296"/>
      <c r="L211" s="403"/>
    </row>
    <row r="212" spans="1:12" s="176" customFormat="1" x14ac:dyDescent="0.25">
      <c r="A212" s="188"/>
      <c r="B212" s="178"/>
      <c r="C212" s="171" t="s">
        <v>149</v>
      </c>
      <c r="D212" s="192">
        <v>2298598960</v>
      </c>
      <c r="E212" s="192">
        <f>'Realisasi Sept'!G212</f>
        <v>1692589281.7200003</v>
      </c>
      <c r="F212" s="192">
        <v>189431246.19</v>
      </c>
      <c r="G212" s="192">
        <f t="shared" si="87"/>
        <v>1882020527.9100003</v>
      </c>
      <c r="H212" s="24">
        <f t="shared" si="84"/>
        <v>0.81876854582323499</v>
      </c>
      <c r="I212" s="207" t="s">
        <v>150</v>
      </c>
      <c r="J212" s="294"/>
      <c r="K212" s="296"/>
      <c r="L212" s="403"/>
    </row>
    <row r="213" spans="1:12" s="176" customFormat="1" x14ac:dyDescent="0.25">
      <c r="A213" s="188"/>
      <c r="B213" s="178"/>
      <c r="C213" s="171" t="s">
        <v>151</v>
      </c>
      <c r="D213" s="192">
        <v>922500000</v>
      </c>
      <c r="E213" s="192">
        <f>'Realisasi Sept'!G213</f>
        <v>673689402.73000002</v>
      </c>
      <c r="F213" s="181">
        <v>71997234.980000004</v>
      </c>
      <c r="G213" s="192">
        <f t="shared" si="87"/>
        <v>745686637.71000004</v>
      </c>
      <c r="H213" s="24">
        <f t="shared" si="84"/>
        <v>0.80833239860162609</v>
      </c>
      <c r="I213" s="207" t="s">
        <v>152</v>
      </c>
      <c r="J213" s="294"/>
      <c r="K213" s="296"/>
      <c r="L213" s="403"/>
    </row>
    <row r="214" spans="1:12" s="176" customFormat="1" x14ac:dyDescent="0.25">
      <c r="A214" s="188"/>
      <c r="B214" s="178"/>
      <c r="C214" s="171" t="s">
        <v>153</v>
      </c>
      <c r="D214" s="192">
        <v>1105404000</v>
      </c>
      <c r="E214" s="192">
        <f>'Realisasi Sept'!G214</f>
        <v>828097648.64999998</v>
      </c>
      <c r="F214" s="192">
        <v>94931385.299999997</v>
      </c>
      <c r="G214" s="192">
        <f t="shared" si="87"/>
        <v>923029033.94999993</v>
      </c>
      <c r="H214" s="24">
        <f t="shared" si="84"/>
        <v>0.83501510212555763</v>
      </c>
      <c r="I214" s="207"/>
      <c r="J214" s="294"/>
      <c r="K214" s="296"/>
      <c r="L214" s="403"/>
    </row>
    <row r="215" spans="1:12" s="176" customFormat="1" x14ac:dyDescent="0.25">
      <c r="A215" s="188"/>
      <c r="B215" s="178"/>
      <c r="C215" s="171" t="s">
        <v>154</v>
      </c>
      <c r="D215" s="192">
        <v>609500000</v>
      </c>
      <c r="E215" s="192">
        <f>'Realisasi Sept'!G215</f>
        <v>460317716.43000001</v>
      </c>
      <c r="F215" s="181">
        <v>52937709.420000002</v>
      </c>
      <c r="G215" s="192">
        <f t="shared" si="87"/>
        <v>513255425.85000002</v>
      </c>
      <c r="H215" s="24">
        <f t="shared" si="84"/>
        <v>0.84209257727645614</v>
      </c>
      <c r="I215" s="207" t="s">
        <v>155</v>
      </c>
      <c r="J215" s="294"/>
      <c r="K215" s="296"/>
      <c r="L215" s="403"/>
    </row>
    <row r="216" spans="1:12" s="176" customFormat="1" x14ac:dyDescent="0.25">
      <c r="A216" s="188"/>
      <c r="B216" s="178"/>
      <c r="C216" s="171" t="s">
        <v>156</v>
      </c>
      <c r="D216" s="192">
        <v>2380000000</v>
      </c>
      <c r="E216" s="192">
        <f>'Realisasi Sept'!G216</f>
        <v>1777752788.4699998</v>
      </c>
      <c r="F216" s="181">
        <v>202551073.28999999</v>
      </c>
      <c r="G216" s="192">
        <f t="shared" si="87"/>
        <v>1980303861.7599998</v>
      </c>
      <c r="H216" s="24">
        <f t="shared" si="84"/>
        <v>0.83206044611764696</v>
      </c>
      <c r="I216" s="207" t="s">
        <v>157</v>
      </c>
      <c r="J216" s="294"/>
      <c r="K216" s="296"/>
      <c r="L216" s="403"/>
    </row>
    <row r="217" spans="1:12" s="176" customFormat="1" x14ac:dyDescent="0.25">
      <c r="A217" s="188"/>
      <c r="B217" s="178"/>
      <c r="C217" s="171" t="s">
        <v>158</v>
      </c>
      <c r="D217" s="192">
        <v>1110542000</v>
      </c>
      <c r="E217" s="192">
        <f>'Realisasi Sept'!G217</f>
        <v>842575044.87</v>
      </c>
      <c r="F217" s="192">
        <v>102084085.5</v>
      </c>
      <c r="G217" s="192">
        <f t="shared" si="87"/>
        <v>944659130.37</v>
      </c>
      <c r="H217" s="24">
        <f t="shared" si="84"/>
        <v>0.85062890946042569</v>
      </c>
      <c r="I217" s="207" t="s">
        <v>159</v>
      </c>
      <c r="J217" s="294"/>
      <c r="K217" s="296"/>
      <c r="L217" s="403"/>
    </row>
    <row r="218" spans="1:12" s="176" customFormat="1" x14ac:dyDescent="0.25">
      <c r="A218" s="188"/>
      <c r="B218" s="178"/>
      <c r="C218" s="171" t="s">
        <v>160</v>
      </c>
      <c r="D218" s="192">
        <v>1640538650</v>
      </c>
      <c r="E218" s="192">
        <f>'Realisasi Sept'!G218</f>
        <v>1103734458.25</v>
      </c>
      <c r="F218" s="192">
        <v>129143328.63</v>
      </c>
      <c r="G218" s="192">
        <f t="shared" si="87"/>
        <v>1232877786.8800001</v>
      </c>
      <c r="H218" s="24">
        <f t="shared" si="84"/>
        <v>0.75150791898746194</v>
      </c>
      <c r="I218" s="207" t="s">
        <v>161</v>
      </c>
      <c r="J218" s="294"/>
      <c r="K218" s="296"/>
      <c r="L218" s="403"/>
    </row>
    <row r="219" spans="1:12" s="176" customFormat="1" x14ac:dyDescent="0.25">
      <c r="A219" s="188"/>
      <c r="B219" s="178"/>
      <c r="C219" s="171"/>
      <c r="D219" s="192"/>
      <c r="E219" s="192"/>
      <c r="F219" s="192"/>
      <c r="G219" s="192"/>
      <c r="H219" s="24"/>
      <c r="I219" s="207"/>
      <c r="J219" s="294"/>
      <c r="K219" s="295"/>
      <c r="L219" s="403"/>
    </row>
    <row r="220" spans="1:12" s="176" customFormat="1" x14ac:dyDescent="0.25">
      <c r="A220" s="168" t="s">
        <v>591</v>
      </c>
      <c r="B220" s="22" t="s">
        <v>306</v>
      </c>
      <c r="C220" s="185" t="s">
        <v>75</v>
      </c>
      <c r="D220" s="196">
        <f t="shared" ref="D220:G223" si="88">D221</f>
        <v>99495000</v>
      </c>
      <c r="E220" s="196">
        <f t="shared" si="88"/>
        <v>87285040</v>
      </c>
      <c r="F220" s="196">
        <f t="shared" si="88"/>
        <v>10893722</v>
      </c>
      <c r="G220" s="196">
        <f t="shared" si="88"/>
        <v>98178762</v>
      </c>
      <c r="H220" s="236">
        <f>G220/D220</f>
        <v>0.98677081260364841</v>
      </c>
      <c r="I220" s="209"/>
      <c r="J220" s="294"/>
      <c r="K220" s="295"/>
      <c r="L220" s="403"/>
    </row>
    <row r="221" spans="1:12" s="176" customFormat="1" x14ac:dyDescent="0.25">
      <c r="A221" s="188"/>
      <c r="B221" s="189" t="s">
        <v>340</v>
      </c>
      <c r="C221" s="185" t="s">
        <v>341</v>
      </c>
      <c r="D221" s="196">
        <f t="shared" si="88"/>
        <v>99495000</v>
      </c>
      <c r="E221" s="196">
        <f t="shared" si="88"/>
        <v>87285040</v>
      </c>
      <c r="F221" s="196">
        <f t="shared" si="88"/>
        <v>10893722</v>
      </c>
      <c r="G221" s="196">
        <f t="shared" si="88"/>
        <v>98178762</v>
      </c>
      <c r="H221" s="236">
        <f>G221/D221</f>
        <v>0.98677081260364841</v>
      </c>
      <c r="I221" s="209"/>
      <c r="J221" s="294"/>
      <c r="K221" s="295"/>
      <c r="L221" s="403"/>
    </row>
    <row r="222" spans="1:12" s="176" customFormat="1" x14ac:dyDescent="0.25">
      <c r="A222" s="188"/>
      <c r="B222" s="22"/>
      <c r="C222" s="185" t="s">
        <v>76</v>
      </c>
      <c r="D222" s="196">
        <f t="shared" si="88"/>
        <v>99495000</v>
      </c>
      <c r="E222" s="196">
        <f t="shared" si="88"/>
        <v>87285040</v>
      </c>
      <c r="F222" s="196">
        <f t="shared" si="88"/>
        <v>10893722</v>
      </c>
      <c r="G222" s="196">
        <f t="shared" si="88"/>
        <v>98178762</v>
      </c>
      <c r="H222" s="236">
        <f>G222/D222</f>
        <v>0.98677081260364841</v>
      </c>
      <c r="I222" s="209"/>
      <c r="J222" s="294"/>
      <c r="K222" s="295"/>
      <c r="L222" s="403"/>
    </row>
    <row r="223" spans="1:12" s="176" customFormat="1" x14ac:dyDescent="0.25">
      <c r="A223" s="188"/>
      <c r="B223" s="178"/>
      <c r="C223" s="183" t="s">
        <v>77</v>
      </c>
      <c r="D223" s="191">
        <f t="shared" si="88"/>
        <v>99495000</v>
      </c>
      <c r="E223" s="191">
        <f t="shared" si="88"/>
        <v>87285040</v>
      </c>
      <c r="F223" s="191">
        <f t="shared" si="88"/>
        <v>10893722</v>
      </c>
      <c r="G223" s="191">
        <f t="shared" si="88"/>
        <v>98178762</v>
      </c>
      <c r="H223" s="236">
        <f>G223/D223</f>
        <v>0.98677081260364841</v>
      </c>
      <c r="I223" s="207"/>
      <c r="J223" s="294"/>
      <c r="K223" s="295"/>
      <c r="L223" s="403"/>
    </row>
    <row r="224" spans="1:12" s="176" customFormat="1" x14ac:dyDescent="0.25">
      <c r="A224" s="182"/>
      <c r="B224" s="177" t="s">
        <v>79</v>
      </c>
      <c r="C224" s="183" t="s">
        <v>80</v>
      </c>
      <c r="D224" s="192">
        <v>99495000</v>
      </c>
      <c r="E224" s="192">
        <f>'Realisasi Sept'!G224</f>
        <v>87285040</v>
      </c>
      <c r="F224" s="192">
        <v>10893722</v>
      </c>
      <c r="G224" s="192">
        <f>E224+F224</f>
        <v>98178762</v>
      </c>
      <c r="H224" s="24">
        <f>G224/D224</f>
        <v>0.98677081260364841</v>
      </c>
      <c r="I224" s="207" t="s">
        <v>78</v>
      </c>
      <c r="J224" s="294"/>
      <c r="K224" s="295"/>
      <c r="L224" s="403"/>
    </row>
    <row r="225" spans="1:12" s="176" customFormat="1" x14ac:dyDescent="0.25">
      <c r="A225" s="182"/>
      <c r="B225" s="177"/>
      <c r="C225" s="183"/>
      <c r="D225" s="192"/>
      <c r="E225" s="192"/>
      <c r="F225" s="192"/>
      <c r="G225" s="191"/>
      <c r="H225" s="24"/>
      <c r="I225" s="207"/>
      <c r="J225" s="294"/>
      <c r="K225" s="295"/>
      <c r="L225" s="403"/>
    </row>
    <row r="226" spans="1:12" s="187" customFormat="1" x14ac:dyDescent="0.25">
      <c r="A226" s="165" t="s">
        <v>627</v>
      </c>
      <c r="B226" s="179" t="s">
        <v>446</v>
      </c>
      <c r="C226" s="180" t="s">
        <v>447</v>
      </c>
      <c r="D226" s="191">
        <f>D227</f>
        <v>0</v>
      </c>
      <c r="E226" s="191"/>
      <c r="F226" s="191">
        <f>F227</f>
        <v>0</v>
      </c>
      <c r="G226" s="191">
        <f>G227</f>
        <v>0</v>
      </c>
      <c r="H226" s="236" t="e">
        <f>G226/D226</f>
        <v>#DIV/0!</v>
      </c>
      <c r="I226" s="216"/>
      <c r="J226" s="186"/>
      <c r="L226" s="404"/>
    </row>
    <row r="227" spans="1:12" s="187" customFormat="1" x14ac:dyDescent="0.25">
      <c r="A227" s="254"/>
      <c r="B227" s="179" t="s">
        <v>448</v>
      </c>
      <c r="C227" s="180" t="s">
        <v>449</v>
      </c>
      <c r="D227" s="191">
        <f>SUM(D228:D230)</f>
        <v>0</v>
      </c>
      <c r="E227" s="191"/>
      <c r="F227" s="191">
        <f>SUM(F228:F230)</f>
        <v>0</v>
      </c>
      <c r="G227" s="191">
        <f>SUM(G228:G230)</f>
        <v>0</v>
      </c>
      <c r="H227" s="236" t="e">
        <f>G227/D227</f>
        <v>#DIV/0!</v>
      </c>
      <c r="I227" s="216"/>
      <c r="J227" s="186"/>
      <c r="L227" s="404"/>
    </row>
    <row r="228" spans="1:12" s="176" customFormat="1" x14ac:dyDescent="0.25">
      <c r="A228" s="182"/>
      <c r="B228" s="178"/>
      <c r="C228" s="193" t="s">
        <v>450</v>
      </c>
      <c r="D228" s="192">
        <v>0</v>
      </c>
      <c r="E228" s="192">
        <f>'Realisasi April'!G221</f>
        <v>0</v>
      </c>
      <c r="F228" s="192"/>
      <c r="G228" s="192">
        <f>E228+F228</f>
        <v>0</v>
      </c>
      <c r="H228" s="252" t="e">
        <f>G228/D228</f>
        <v>#DIV/0!</v>
      </c>
      <c r="I228" s="207"/>
      <c r="J228" s="175"/>
      <c r="L228" s="3"/>
    </row>
    <row r="229" spans="1:12" s="176" customFormat="1" x14ac:dyDescent="0.25">
      <c r="A229" s="182"/>
      <c r="B229" s="178"/>
      <c r="C229" s="193" t="s">
        <v>451</v>
      </c>
      <c r="D229" s="192">
        <v>0</v>
      </c>
      <c r="E229" s="192">
        <f>'Realisasi April'!G222</f>
        <v>0</v>
      </c>
      <c r="F229" s="192"/>
      <c r="G229" s="192">
        <f>E229+F229</f>
        <v>0</v>
      </c>
      <c r="H229" s="252" t="e">
        <f>G229/D229</f>
        <v>#DIV/0!</v>
      </c>
      <c r="I229" s="207"/>
      <c r="J229" s="175"/>
      <c r="L229" s="3"/>
    </row>
    <row r="230" spans="1:12" s="176" customFormat="1" x14ac:dyDescent="0.25">
      <c r="A230" s="182"/>
      <c r="B230" s="178"/>
      <c r="C230" s="193"/>
      <c r="D230" s="192"/>
      <c r="E230" s="192"/>
      <c r="F230" s="192"/>
      <c r="G230" s="192"/>
      <c r="H230" s="252"/>
      <c r="I230" s="207"/>
      <c r="J230" s="175"/>
      <c r="L230" s="3"/>
    </row>
    <row r="231" spans="1:12" s="176" customFormat="1" x14ac:dyDescent="0.25">
      <c r="A231" s="182"/>
      <c r="B231" s="36"/>
      <c r="C231" s="37"/>
      <c r="D231" s="192"/>
      <c r="E231" s="192"/>
      <c r="F231" s="192"/>
      <c r="G231" s="191"/>
      <c r="H231" s="236"/>
      <c r="I231" s="222"/>
      <c r="J231" s="175"/>
      <c r="L231" s="3"/>
    </row>
    <row r="232" spans="1:12" s="176" customFormat="1" ht="24.75" customHeight="1" x14ac:dyDescent="0.25">
      <c r="A232" s="126" t="s">
        <v>163</v>
      </c>
      <c r="B232" s="128" t="s">
        <v>164</v>
      </c>
      <c r="C232" s="41" t="s">
        <v>268</v>
      </c>
      <c r="D232" s="42">
        <f>SUM(D233+D417)</f>
        <v>939777284241.33008</v>
      </c>
      <c r="E232" s="42">
        <f>SUM(E233+E417)</f>
        <v>599996295405</v>
      </c>
      <c r="F232" s="42">
        <f>SUM(F233+F417)</f>
        <v>123873867885</v>
      </c>
      <c r="G232" s="42">
        <f>SUM(G233+G417)</f>
        <v>723870163290</v>
      </c>
      <c r="H232" s="237">
        <f t="shared" ref="H232:H237" si="89">G232/D232</f>
        <v>0.77025714009928525</v>
      </c>
      <c r="I232" s="223"/>
      <c r="J232" s="175"/>
      <c r="K232" s="270"/>
      <c r="L232" s="3"/>
    </row>
    <row r="233" spans="1:12" s="176" customFormat="1" x14ac:dyDescent="0.25">
      <c r="A233" s="134" t="s">
        <v>416</v>
      </c>
      <c r="B233" s="135" t="s">
        <v>350</v>
      </c>
      <c r="C233" s="136" t="s">
        <v>351</v>
      </c>
      <c r="D233" s="137">
        <f>SUM(D234+D410)</f>
        <v>794763838753</v>
      </c>
      <c r="E233" s="137">
        <f>SUM(E234+E410)</f>
        <v>526259426974</v>
      </c>
      <c r="F233" s="137">
        <f>SUM(F234+F410)</f>
        <v>93899617286</v>
      </c>
      <c r="G233" s="137">
        <f>SUM(G234+G410)</f>
        <v>620159044260</v>
      </c>
      <c r="H233" s="238">
        <f t="shared" si="89"/>
        <v>0.78030606580319717</v>
      </c>
      <c r="I233" s="223"/>
      <c r="J233" s="175"/>
      <c r="L233" s="3"/>
    </row>
    <row r="234" spans="1:12" s="176" customFormat="1" x14ac:dyDescent="0.25">
      <c r="A234" s="123" t="s">
        <v>89</v>
      </c>
      <c r="B234" s="133" t="s">
        <v>352</v>
      </c>
      <c r="C234" s="124" t="s">
        <v>165</v>
      </c>
      <c r="D234" s="125">
        <f>SUM(D235+D293+D295+D365)</f>
        <v>774402942753</v>
      </c>
      <c r="E234" s="125">
        <f>SUM(E235+E293+E295+E365)</f>
        <v>517396102974</v>
      </c>
      <c r="F234" s="125">
        <f>SUM(F235+F293+F295+F365)</f>
        <v>93899617286</v>
      </c>
      <c r="G234" s="125">
        <f>SUM(G235+G293+G295+G365)</f>
        <v>611295720260</v>
      </c>
      <c r="H234" s="239">
        <f t="shared" si="89"/>
        <v>0.78937680438925717</v>
      </c>
      <c r="I234" s="223"/>
      <c r="J234" s="175"/>
      <c r="K234" s="270"/>
      <c r="L234" s="3"/>
    </row>
    <row r="235" spans="1:12" s="176" customFormat="1" x14ac:dyDescent="0.25">
      <c r="A235" s="138" t="s">
        <v>166</v>
      </c>
      <c r="B235" s="139" t="s">
        <v>353</v>
      </c>
      <c r="C235" s="140" t="s">
        <v>354</v>
      </c>
      <c r="D235" s="141">
        <f>SUM(D236+D260+D264+D268+D272+D276+D280+D285+D288+D258)</f>
        <v>162373681000</v>
      </c>
      <c r="E235" s="141">
        <f>E236+E260+E264+E268+E272+E276+E280+E288+E258</f>
        <v>85276302890</v>
      </c>
      <c r="F235" s="141">
        <f t="shared" ref="F235" si="90">F236+F260+F264+F268+F272+F276+F280+F288</f>
        <v>39907281086</v>
      </c>
      <c r="G235" s="141">
        <f>G236+G260+G264+G268+G272+G276+G280+G288+G258</f>
        <v>125183583976</v>
      </c>
      <c r="H235" s="240">
        <f t="shared" si="89"/>
        <v>0.77095982061279988</v>
      </c>
      <c r="I235" s="224"/>
      <c r="J235" s="175"/>
      <c r="K235" s="270"/>
      <c r="L235" s="3"/>
    </row>
    <row r="236" spans="1:12" s="187" customFormat="1" x14ac:dyDescent="0.25">
      <c r="A236" s="184" t="s">
        <v>406</v>
      </c>
      <c r="B236" s="189" t="s">
        <v>355</v>
      </c>
      <c r="C236" s="185" t="s">
        <v>356</v>
      </c>
      <c r="D236" s="196">
        <f>D237+D247</f>
        <v>26807415000</v>
      </c>
      <c r="E236" s="196">
        <f>E237+E247</f>
        <v>21406869776</v>
      </c>
      <c r="F236" s="196">
        <f>F237+F247</f>
        <v>5134159250</v>
      </c>
      <c r="G236" s="196">
        <f>G237+G247</f>
        <v>26541029026</v>
      </c>
      <c r="H236" s="236">
        <f t="shared" si="89"/>
        <v>0.99006297421814071</v>
      </c>
      <c r="I236" s="225" t="s">
        <v>167</v>
      </c>
      <c r="J236" s="186"/>
      <c r="L236" s="404"/>
    </row>
    <row r="237" spans="1:12" s="187" customFormat="1" x14ac:dyDescent="0.25">
      <c r="A237" s="184"/>
      <c r="B237" s="189"/>
      <c r="C237" s="185" t="s">
        <v>633</v>
      </c>
      <c r="D237" s="196">
        <f>SUM(D238:D246)</f>
        <v>26807415000</v>
      </c>
      <c r="E237" s="196">
        <f>SUM(E238:E246)</f>
        <v>19923370100</v>
      </c>
      <c r="F237" s="196">
        <f>SUM(F238:F246)</f>
        <v>5134159250</v>
      </c>
      <c r="G237" s="196">
        <f>SUM(G238:G246)</f>
        <v>25057529350</v>
      </c>
      <c r="H237" s="236">
        <f t="shared" si="89"/>
        <v>0.93472381988341657</v>
      </c>
      <c r="I237" s="225"/>
      <c r="J237" s="186"/>
      <c r="K237" s="421"/>
      <c r="L237" s="404"/>
    </row>
    <row r="238" spans="1:12" s="187" customFormat="1" x14ac:dyDescent="0.25">
      <c r="A238" s="184"/>
      <c r="B238" s="190"/>
      <c r="C238" s="193" t="s">
        <v>453</v>
      </c>
      <c r="D238" s="181">
        <v>3820583000</v>
      </c>
      <c r="E238" s="181">
        <f>'Realisasi Sept'!G238</f>
        <v>2992324000</v>
      </c>
      <c r="F238" s="181"/>
      <c r="G238" s="192">
        <f>E238+F238</f>
        <v>2992324000</v>
      </c>
      <c r="H238" s="24"/>
      <c r="I238" s="225"/>
      <c r="J238" s="186"/>
      <c r="L238" s="404"/>
    </row>
    <row r="239" spans="1:12" s="187" customFormat="1" x14ac:dyDescent="0.25">
      <c r="A239" s="184"/>
      <c r="B239" s="190"/>
      <c r="C239" s="193" t="s">
        <v>454</v>
      </c>
      <c r="D239" s="181">
        <v>16610000</v>
      </c>
      <c r="E239" s="181">
        <f>'Realisasi Sept'!G239</f>
        <v>7474500</v>
      </c>
      <c r="F239" s="181">
        <f>830500+830500+830500+830500</f>
        <v>3322000</v>
      </c>
      <c r="G239" s="192">
        <f t="shared" ref="G239:G246" si="91">E239+F239</f>
        <v>10796500</v>
      </c>
      <c r="H239" s="24"/>
      <c r="I239" s="225"/>
      <c r="J239" s="186"/>
      <c r="L239" s="404"/>
    </row>
    <row r="240" spans="1:12" s="187" customFormat="1" x14ac:dyDescent="0.25">
      <c r="A240" s="184"/>
      <c r="B240" s="190"/>
      <c r="C240" s="193" t="s">
        <v>455</v>
      </c>
      <c r="D240" s="181">
        <v>2418594000</v>
      </c>
      <c r="E240" s="181">
        <f>'Realisasi Sept'!G240</f>
        <v>1088367300</v>
      </c>
      <c r="F240" s="181">
        <f>120929700+120929700+120929700+120929700</f>
        <v>483718800</v>
      </c>
      <c r="G240" s="192">
        <f t="shared" si="91"/>
        <v>1572086100</v>
      </c>
      <c r="H240" s="24"/>
      <c r="I240" s="225"/>
      <c r="J240" s="186"/>
      <c r="L240" s="404"/>
    </row>
    <row r="241" spans="1:13" s="187" customFormat="1" x14ac:dyDescent="0.25">
      <c r="A241" s="184"/>
      <c r="B241" s="190"/>
      <c r="C241" s="193" t="s">
        <v>456</v>
      </c>
      <c r="D241" s="181">
        <v>19697014000</v>
      </c>
      <c r="E241" s="181">
        <f>'Realisasi Sept'!G241</f>
        <v>15238148300</v>
      </c>
      <c r="F241" s="181">
        <v>4458865700</v>
      </c>
      <c r="G241" s="192">
        <f t="shared" si="91"/>
        <v>19697014000</v>
      </c>
      <c r="H241" s="24"/>
      <c r="I241" s="225"/>
      <c r="J241" s="186"/>
      <c r="L241" s="404"/>
    </row>
    <row r="242" spans="1:13" s="187" customFormat="1" x14ac:dyDescent="0.25">
      <c r="A242" s="184"/>
      <c r="B242" s="190"/>
      <c r="C242" s="193" t="s">
        <v>457</v>
      </c>
      <c r="D242" s="181">
        <v>99893000</v>
      </c>
      <c r="E242" s="181">
        <f>'Realisasi Sept'!G242</f>
        <v>44951850</v>
      </c>
      <c r="F242" s="181">
        <f>4994650+4994650+4994650+4994650</f>
        <v>19978600</v>
      </c>
      <c r="G242" s="192">
        <f t="shared" si="91"/>
        <v>64930450</v>
      </c>
      <c r="H242" s="24"/>
      <c r="I242" s="225"/>
      <c r="J242" s="186"/>
      <c r="L242" s="404"/>
    </row>
    <row r="243" spans="1:13" s="187" customFormat="1" x14ac:dyDescent="0.25">
      <c r="A243" s="184"/>
      <c r="B243" s="190"/>
      <c r="C243" s="193" t="s">
        <v>458</v>
      </c>
      <c r="D243" s="181">
        <v>738000</v>
      </c>
      <c r="E243" s="181">
        <f>'Realisasi Sept'!G243</f>
        <v>332100</v>
      </c>
      <c r="F243" s="181">
        <f>36900+36900+36900+36900</f>
        <v>147600</v>
      </c>
      <c r="G243" s="192">
        <f t="shared" si="91"/>
        <v>479700</v>
      </c>
      <c r="H243" s="24"/>
      <c r="I243" s="225"/>
      <c r="J243" s="186"/>
      <c r="L243" s="404"/>
    </row>
    <row r="244" spans="1:13" s="187" customFormat="1" x14ac:dyDescent="0.25">
      <c r="A244" s="184"/>
      <c r="B244" s="190"/>
      <c r="C244" s="193" t="s">
        <v>459</v>
      </c>
      <c r="D244" s="181">
        <v>94054000</v>
      </c>
      <c r="E244" s="181">
        <f>'Realisasi Sept'!G244</f>
        <v>42324300</v>
      </c>
      <c r="F244" s="181">
        <f>4702700+4702700+4702700+4702700</f>
        <v>18810800</v>
      </c>
      <c r="G244" s="192">
        <f t="shared" si="91"/>
        <v>61135100</v>
      </c>
      <c r="H244" s="24"/>
      <c r="I244" s="225"/>
      <c r="J244" s="186"/>
      <c r="L244" s="404"/>
    </row>
    <row r="245" spans="1:13" s="187" customFormat="1" x14ac:dyDescent="0.25">
      <c r="A245" s="184"/>
      <c r="B245" s="190"/>
      <c r="C245" s="193" t="s">
        <v>460</v>
      </c>
      <c r="D245" s="181">
        <v>656599000</v>
      </c>
      <c r="E245" s="181">
        <f>'Realisasi Sept'!G245</f>
        <v>507949250</v>
      </c>
      <c r="F245" s="181">
        <v>148649750</v>
      </c>
      <c r="G245" s="192">
        <f t="shared" si="91"/>
        <v>656599000</v>
      </c>
      <c r="H245" s="24"/>
      <c r="I245" s="225"/>
      <c r="J245" s="186"/>
      <c r="L245" s="404"/>
      <c r="M245" s="187" t="s">
        <v>671</v>
      </c>
    </row>
    <row r="246" spans="1:13" s="187" customFormat="1" x14ac:dyDescent="0.25">
      <c r="A246" s="184"/>
      <c r="B246" s="190"/>
      <c r="C246" s="193" t="s">
        <v>461</v>
      </c>
      <c r="D246" s="181">
        <v>3330000</v>
      </c>
      <c r="E246" s="181">
        <f>'Realisasi Sept'!G246</f>
        <v>1498500</v>
      </c>
      <c r="F246" s="181">
        <f>166500+166500+166500+166500</f>
        <v>666000</v>
      </c>
      <c r="G246" s="192">
        <f t="shared" si="91"/>
        <v>2164500</v>
      </c>
      <c r="H246" s="24"/>
      <c r="I246" s="225"/>
      <c r="J246" s="186"/>
      <c r="L246" s="404"/>
    </row>
    <row r="247" spans="1:13" s="187" customFormat="1" x14ac:dyDescent="0.25">
      <c r="A247" s="184"/>
      <c r="B247" s="190"/>
      <c r="C247" s="35" t="s">
        <v>519</v>
      </c>
      <c r="D247" s="196">
        <f>SUM(D248:D256)</f>
        <v>0</v>
      </c>
      <c r="E247" s="196">
        <f>SUM(E248:E256)</f>
        <v>1483499676</v>
      </c>
      <c r="F247" s="196">
        <f t="shared" ref="F247:G247" si="92">SUM(F248:F256)</f>
        <v>0</v>
      </c>
      <c r="G247" s="196">
        <f t="shared" si="92"/>
        <v>1483499676</v>
      </c>
      <c r="H247" s="236" t="e">
        <f t="shared" ref="H247:H256" si="93">G247/D247</f>
        <v>#DIV/0!</v>
      </c>
      <c r="I247" s="225"/>
      <c r="J247" s="186"/>
      <c r="L247" s="404"/>
    </row>
    <row r="248" spans="1:13" s="187" customFormat="1" x14ac:dyDescent="0.25">
      <c r="A248" s="184"/>
      <c r="B248" s="190"/>
      <c r="C248" s="193" t="s">
        <v>707</v>
      </c>
      <c r="D248" s="181"/>
      <c r="E248" s="181">
        <f>'Realisasi Sept'!G248</f>
        <v>803667166</v>
      </c>
      <c r="F248" s="196">
        <f t="shared" ref="F248" si="94">SUM(F249:F256)</f>
        <v>0</v>
      </c>
      <c r="G248" s="181">
        <f>E248+F248</f>
        <v>803667166</v>
      </c>
      <c r="H248" s="24" t="e">
        <f t="shared" si="93"/>
        <v>#DIV/0!</v>
      </c>
      <c r="I248" s="225"/>
      <c r="J248" s="186"/>
      <c r="L248" s="404"/>
    </row>
    <row r="249" spans="1:13" s="187" customFormat="1" x14ac:dyDescent="0.25">
      <c r="A249" s="184"/>
      <c r="B249" s="190"/>
      <c r="C249" s="193" t="s">
        <v>708</v>
      </c>
      <c r="D249" s="181"/>
      <c r="E249" s="181">
        <f>'Realisasi Sept'!G249</f>
        <v>6955302</v>
      </c>
      <c r="F249" s="181"/>
      <c r="G249" s="181">
        <f t="shared" ref="G249:G256" si="95">E249+F249</f>
        <v>6955302</v>
      </c>
      <c r="H249" s="24" t="e">
        <f t="shared" si="93"/>
        <v>#DIV/0!</v>
      </c>
      <c r="I249" s="225"/>
      <c r="J249" s="186"/>
      <c r="L249" s="404"/>
    </row>
    <row r="250" spans="1:13" s="187" customFormat="1" x14ac:dyDescent="0.25">
      <c r="A250" s="184"/>
      <c r="B250" s="190"/>
      <c r="C250" s="193" t="s">
        <v>710</v>
      </c>
      <c r="D250" s="181"/>
      <c r="E250" s="181">
        <f>'Realisasi Sept'!G250</f>
        <v>586910454</v>
      </c>
      <c r="F250" s="181"/>
      <c r="G250" s="181">
        <f t="shared" si="95"/>
        <v>586910454</v>
      </c>
      <c r="H250" s="24" t="e">
        <f t="shared" si="93"/>
        <v>#DIV/0!</v>
      </c>
      <c r="I250" s="225"/>
      <c r="J250" s="186"/>
      <c r="L250" s="404"/>
    </row>
    <row r="251" spans="1:13" s="187" customFormat="1" x14ac:dyDescent="0.25">
      <c r="A251" s="184"/>
      <c r="B251" s="190"/>
      <c r="C251" s="193" t="s">
        <v>709</v>
      </c>
      <c r="D251" s="181"/>
      <c r="E251" s="181">
        <f>'Realisasi Sept'!G251</f>
        <v>60807157</v>
      </c>
      <c r="F251" s="181"/>
      <c r="G251" s="181">
        <f t="shared" si="95"/>
        <v>60807157</v>
      </c>
      <c r="H251" s="24" t="e">
        <f t="shared" si="93"/>
        <v>#DIV/0!</v>
      </c>
      <c r="I251" s="225"/>
      <c r="J251" s="186"/>
      <c r="L251" s="404"/>
    </row>
    <row r="252" spans="1:13" s="187" customFormat="1" x14ac:dyDescent="0.25">
      <c r="A252" s="184"/>
      <c r="B252" s="190"/>
      <c r="C252" s="193" t="s">
        <v>711</v>
      </c>
      <c r="D252" s="181"/>
      <c r="E252" s="181">
        <f>'Realisasi Sept'!G252</f>
        <v>309013</v>
      </c>
      <c r="F252" s="181"/>
      <c r="G252" s="181">
        <f t="shared" si="95"/>
        <v>309013</v>
      </c>
      <c r="H252" s="24" t="e">
        <f t="shared" si="93"/>
        <v>#DIV/0!</v>
      </c>
      <c r="I252" s="225"/>
      <c r="J252" s="186"/>
      <c r="L252" s="404"/>
    </row>
    <row r="253" spans="1:13" s="187" customFormat="1" x14ac:dyDescent="0.25">
      <c r="A253" s="184"/>
      <c r="B253" s="190"/>
      <c r="C253" s="193" t="s">
        <v>712</v>
      </c>
      <c r="D253" s="181"/>
      <c r="E253" s="181">
        <f>'Realisasi Sept'!G253</f>
        <v>22824512</v>
      </c>
      <c r="F253" s="181"/>
      <c r="G253" s="181">
        <f t="shared" si="95"/>
        <v>22824512</v>
      </c>
      <c r="H253" s="24" t="e">
        <f t="shared" si="93"/>
        <v>#DIV/0!</v>
      </c>
      <c r="I253" s="225"/>
      <c r="J253" s="186"/>
      <c r="L253" s="404"/>
    </row>
    <row r="254" spans="1:13" s="187" customFormat="1" x14ac:dyDescent="0.25">
      <c r="A254" s="184"/>
      <c r="B254" s="190"/>
      <c r="C254" s="193" t="s">
        <v>713</v>
      </c>
      <c r="D254" s="181"/>
      <c r="E254" s="181">
        <f>'Realisasi Sept'!G254</f>
        <v>2026072</v>
      </c>
      <c r="F254" s="181"/>
      <c r="G254" s="181">
        <f t="shared" si="95"/>
        <v>2026072</v>
      </c>
      <c r="H254" s="24" t="e">
        <f t="shared" si="93"/>
        <v>#DIV/0!</v>
      </c>
      <c r="I254" s="225"/>
      <c r="J254" s="186"/>
      <c r="L254" s="404"/>
    </row>
    <row r="255" spans="1:13" s="187" customFormat="1" x14ac:dyDescent="0.25">
      <c r="A255" s="184"/>
      <c r="B255" s="190"/>
      <c r="C255" s="193" t="s">
        <v>714</v>
      </c>
      <c r="D255" s="181"/>
      <c r="E255" s="181">
        <f>'Realisasi Sept'!G255</f>
        <v>0</v>
      </c>
      <c r="F255" s="181"/>
      <c r="G255" s="181">
        <f t="shared" si="95"/>
        <v>0</v>
      </c>
      <c r="H255" s="24" t="e">
        <f t="shared" si="93"/>
        <v>#DIV/0!</v>
      </c>
      <c r="I255" s="225"/>
      <c r="J255" s="186"/>
      <c r="L255" s="404"/>
    </row>
    <row r="256" spans="1:13" s="187" customFormat="1" x14ac:dyDescent="0.25">
      <c r="A256" s="184"/>
      <c r="B256" s="190"/>
      <c r="C256" s="193" t="s">
        <v>715</v>
      </c>
      <c r="D256" s="181"/>
      <c r="E256" s="181">
        <f>'Realisasi Sept'!G256</f>
        <v>0</v>
      </c>
      <c r="F256" s="181"/>
      <c r="G256" s="181">
        <f t="shared" si="95"/>
        <v>0</v>
      </c>
      <c r="H256" s="24" t="e">
        <f t="shared" si="93"/>
        <v>#DIV/0!</v>
      </c>
      <c r="I256" s="225"/>
      <c r="J256" s="186"/>
      <c r="L256" s="404"/>
    </row>
    <row r="257" spans="1:12" s="187" customFormat="1" x14ac:dyDescent="0.25">
      <c r="A257" s="184"/>
      <c r="B257" s="190"/>
      <c r="C257" s="193"/>
      <c r="D257" s="181"/>
      <c r="E257" s="181"/>
      <c r="F257" s="181"/>
      <c r="G257" s="192"/>
      <c r="H257" s="24"/>
      <c r="I257" s="225"/>
      <c r="J257" s="186"/>
      <c r="L257" s="404"/>
    </row>
    <row r="258" spans="1:12" s="187" customFormat="1" x14ac:dyDescent="0.25">
      <c r="A258" s="184"/>
      <c r="B258" s="190"/>
      <c r="C258" s="35" t="s">
        <v>688</v>
      </c>
      <c r="D258" s="196">
        <v>261000</v>
      </c>
      <c r="E258" s="196">
        <f>'Realisasi Sept'!G258</f>
        <v>42840</v>
      </c>
      <c r="F258" s="196"/>
      <c r="G258" s="191">
        <f>E258+F258</f>
        <v>42840</v>
      </c>
      <c r="H258" s="236"/>
      <c r="I258" s="225"/>
      <c r="J258" s="186"/>
      <c r="L258" s="404"/>
    </row>
    <row r="259" spans="1:12" s="187" customFormat="1" x14ac:dyDescent="0.25">
      <c r="A259" s="184"/>
      <c r="B259" s="190"/>
      <c r="C259" s="183"/>
      <c r="D259" s="181"/>
      <c r="E259" s="196"/>
      <c r="F259" s="181"/>
      <c r="G259" s="192"/>
      <c r="H259" s="24"/>
      <c r="I259" s="225"/>
      <c r="J259" s="186"/>
      <c r="L259" s="404"/>
    </row>
    <row r="260" spans="1:12" s="187" customFormat="1" x14ac:dyDescent="0.25">
      <c r="A260" s="184" t="s">
        <v>407</v>
      </c>
      <c r="B260" s="189" t="s">
        <v>357</v>
      </c>
      <c r="C260" s="185" t="s">
        <v>358</v>
      </c>
      <c r="D260" s="191">
        <v>26523015000</v>
      </c>
      <c r="E260" s="196">
        <f>SUM(E261:E262)</f>
        <v>15567416600</v>
      </c>
      <c r="F260" s="196">
        <f t="shared" ref="F260:G260" si="96">SUM(F261:F262)</f>
        <v>10955598400</v>
      </c>
      <c r="G260" s="196">
        <f t="shared" si="96"/>
        <v>26523015000</v>
      </c>
      <c r="H260" s="236">
        <f>G260/D260</f>
        <v>1</v>
      </c>
      <c r="I260" s="225" t="s">
        <v>167</v>
      </c>
      <c r="J260" s="186"/>
      <c r="L260" s="404"/>
    </row>
    <row r="261" spans="1:12" s="187" customFormat="1" x14ac:dyDescent="0.25">
      <c r="A261" s="184"/>
      <c r="B261" s="190"/>
      <c r="C261" s="193" t="s">
        <v>650</v>
      </c>
      <c r="D261" s="192"/>
      <c r="E261" s="181">
        <f>'Realisasi Sept'!G261</f>
        <v>15567416600</v>
      </c>
      <c r="F261" s="181">
        <v>10955598400</v>
      </c>
      <c r="G261" s="192">
        <f>E261+F261</f>
        <v>26523015000</v>
      </c>
      <c r="H261" s="24" t="e">
        <f>G261/D261</f>
        <v>#DIV/0!</v>
      </c>
      <c r="I261" s="225"/>
      <c r="J261" s="186"/>
      <c r="L261" s="404"/>
    </row>
    <row r="262" spans="1:12" s="187" customFormat="1" x14ac:dyDescent="0.25">
      <c r="A262" s="184"/>
      <c r="B262" s="190"/>
      <c r="C262" s="193" t="s">
        <v>651</v>
      </c>
      <c r="D262" s="192"/>
      <c r="E262" s="181">
        <f>'Realisasi Sept'!G262</f>
        <v>0</v>
      </c>
      <c r="F262" s="181"/>
      <c r="G262" s="192">
        <f t="shared" ref="G262" si="97">E262+F262</f>
        <v>0</v>
      </c>
      <c r="H262" s="24" t="e">
        <f>G262/D262</f>
        <v>#DIV/0!</v>
      </c>
      <c r="I262" s="225"/>
      <c r="J262" s="186"/>
      <c r="L262" s="404"/>
    </row>
    <row r="263" spans="1:12" s="187" customFormat="1" x14ac:dyDescent="0.25">
      <c r="A263" s="184"/>
      <c r="B263" s="190"/>
      <c r="C263" s="183"/>
      <c r="D263" s="192"/>
      <c r="E263" s="181"/>
      <c r="F263" s="181"/>
      <c r="G263" s="192"/>
      <c r="H263" s="24"/>
      <c r="I263" s="225"/>
      <c r="J263" s="186"/>
      <c r="L263" s="404"/>
    </row>
    <row r="264" spans="1:12" s="187" customFormat="1" x14ac:dyDescent="0.25">
      <c r="A264" s="184" t="s">
        <v>408</v>
      </c>
      <c r="B264" s="189" t="s">
        <v>359</v>
      </c>
      <c r="C264" s="185" t="s">
        <v>360</v>
      </c>
      <c r="D264" s="191">
        <v>1150983000</v>
      </c>
      <c r="E264" s="196">
        <f>E265+E266</f>
        <v>1788721696</v>
      </c>
      <c r="F264" s="196">
        <f t="shared" ref="F264:G264" si="98">F265+F266</f>
        <v>476384800</v>
      </c>
      <c r="G264" s="196">
        <f t="shared" si="98"/>
        <v>2265106496</v>
      </c>
      <c r="H264" s="236">
        <f>G264/D264</f>
        <v>1.9679756312647536</v>
      </c>
      <c r="I264" s="225" t="s">
        <v>167</v>
      </c>
      <c r="J264" s="186"/>
      <c r="L264" s="404"/>
    </row>
    <row r="265" spans="1:12" s="187" customFormat="1" x14ac:dyDescent="0.25">
      <c r="A265" s="184"/>
      <c r="B265" s="190"/>
      <c r="C265" s="193" t="s">
        <v>652</v>
      </c>
      <c r="D265" s="192"/>
      <c r="E265" s="181">
        <f>'Realisasi Sept'!G265</f>
        <v>674598200</v>
      </c>
      <c r="F265" s="181">
        <v>476384800</v>
      </c>
      <c r="G265" s="192">
        <f>E265+F265</f>
        <v>1150983000</v>
      </c>
      <c r="H265" s="24" t="e">
        <f>G265/D265</f>
        <v>#DIV/0!</v>
      </c>
      <c r="I265" s="225"/>
      <c r="J265" s="186"/>
      <c r="L265" s="404"/>
    </row>
    <row r="266" spans="1:12" s="187" customFormat="1" x14ac:dyDescent="0.25">
      <c r="A266" s="184"/>
      <c r="B266" s="190"/>
      <c r="C266" s="193" t="s">
        <v>653</v>
      </c>
      <c r="D266" s="192"/>
      <c r="E266" s="181">
        <f>'Realisasi Sept'!G266</f>
        <v>1114123496</v>
      </c>
      <c r="F266" s="181"/>
      <c r="G266" s="192">
        <f t="shared" ref="G266" si="99">E266+F266</f>
        <v>1114123496</v>
      </c>
      <c r="H266" s="24" t="e">
        <f>G266/D266</f>
        <v>#DIV/0!</v>
      </c>
      <c r="I266" s="225"/>
      <c r="J266" s="186"/>
      <c r="L266" s="404"/>
    </row>
    <row r="267" spans="1:12" s="187" customFormat="1" x14ac:dyDescent="0.25">
      <c r="A267" s="184"/>
      <c r="B267" s="190"/>
      <c r="C267" s="183"/>
      <c r="D267" s="192"/>
      <c r="E267" s="181"/>
      <c r="F267" s="181"/>
      <c r="G267" s="192"/>
      <c r="H267" s="24"/>
      <c r="I267" s="225"/>
      <c r="J267" s="186"/>
      <c r="L267" s="404"/>
    </row>
    <row r="268" spans="1:12" s="187" customFormat="1" x14ac:dyDescent="0.25">
      <c r="A268" s="184" t="s">
        <v>409</v>
      </c>
      <c r="B268" s="189" t="s">
        <v>405</v>
      </c>
      <c r="C268" s="185" t="s">
        <v>361</v>
      </c>
      <c r="D268" s="191">
        <v>90637250000</v>
      </c>
      <c r="E268" s="196">
        <f>SUM(E269:E270)</f>
        <v>41010624678</v>
      </c>
      <c r="F268" s="196">
        <f t="shared" ref="F268:G268" si="100">SUM(F269:F270)</f>
        <v>20574857436</v>
      </c>
      <c r="G268" s="196">
        <f t="shared" si="100"/>
        <v>61585482114</v>
      </c>
      <c r="H268" s="236">
        <f>G268/D268</f>
        <v>0.67947209468513226</v>
      </c>
      <c r="I268" s="225" t="s">
        <v>167</v>
      </c>
      <c r="J268" s="186"/>
      <c r="L268" s="404"/>
    </row>
    <row r="269" spans="1:12" s="187" customFormat="1" x14ac:dyDescent="0.25">
      <c r="A269" s="184"/>
      <c r="B269" s="190"/>
      <c r="C269" s="193" t="s">
        <v>654</v>
      </c>
      <c r="D269" s="192"/>
      <c r="E269" s="181">
        <f>'Realisasi Sept'!G269</f>
        <v>39076182900</v>
      </c>
      <c r="F269" s="181">
        <f>19198047800+639981800</f>
        <v>19838029600</v>
      </c>
      <c r="G269" s="192">
        <f>E269+F269</f>
        <v>58914212500</v>
      </c>
      <c r="H269" s="24" t="e">
        <f>G269/D269</f>
        <v>#DIV/0!</v>
      </c>
      <c r="I269" s="225"/>
      <c r="J269" s="186"/>
      <c r="L269" s="404"/>
    </row>
    <row r="270" spans="1:12" s="187" customFormat="1" x14ac:dyDescent="0.25">
      <c r="A270" s="184"/>
      <c r="B270" s="190"/>
      <c r="C270" s="193" t="s">
        <v>655</v>
      </c>
      <c r="D270" s="192"/>
      <c r="E270" s="181">
        <f>'Realisasi Sept'!G270</f>
        <v>1934441778</v>
      </c>
      <c r="F270" s="181">
        <v>736827836</v>
      </c>
      <c r="G270" s="192">
        <f t="shared" ref="G270" si="101">E270+F270</f>
        <v>2671269614</v>
      </c>
      <c r="H270" s="24" t="e">
        <f>G270/D270</f>
        <v>#DIV/0!</v>
      </c>
      <c r="I270" s="225"/>
      <c r="J270" s="186"/>
      <c r="L270" s="404"/>
    </row>
    <row r="271" spans="1:12" s="187" customFormat="1" x14ac:dyDescent="0.25">
      <c r="A271" s="184"/>
      <c r="B271" s="190"/>
      <c r="C271" s="193"/>
      <c r="D271" s="192"/>
      <c r="E271" s="181"/>
      <c r="F271" s="181"/>
      <c r="G271" s="192"/>
      <c r="H271" s="24"/>
      <c r="I271" s="225"/>
      <c r="J271" s="186"/>
      <c r="L271" s="404"/>
    </row>
    <row r="272" spans="1:12" s="187" customFormat="1" x14ac:dyDescent="0.25">
      <c r="A272" s="188" t="s">
        <v>410</v>
      </c>
      <c r="B272" s="189" t="s">
        <v>462</v>
      </c>
      <c r="C272" s="185" t="s">
        <v>463</v>
      </c>
      <c r="D272" s="191">
        <v>3994893000</v>
      </c>
      <c r="E272" s="196">
        <f>E273</f>
        <v>1731105900</v>
      </c>
      <c r="F272" s="196">
        <f t="shared" ref="F272:G272" si="102">F273</f>
        <v>865574550</v>
      </c>
      <c r="G272" s="196">
        <f t="shared" si="102"/>
        <v>2596680450</v>
      </c>
      <c r="H272" s="236">
        <f>G272/D272</f>
        <v>0.65</v>
      </c>
      <c r="I272" s="225"/>
      <c r="J272" s="186"/>
      <c r="L272" s="404"/>
    </row>
    <row r="273" spans="1:12" s="187" customFormat="1" x14ac:dyDescent="0.25">
      <c r="A273" s="188"/>
      <c r="B273" s="190"/>
      <c r="C273" s="193" t="s">
        <v>656</v>
      </c>
      <c r="D273" s="192"/>
      <c r="E273" s="181">
        <f>'Realisasi Sept'!G273</f>
        <v>1731105900</v>
      </c>
      <c r="F273" s="181">
        <f>851374450+14200100</f>
        <v>865574550</v>
      </c>
      <c r="G273" s="192">
        <f>E273+F273</f>
        <v>2596680450</v>
      </c>
      <c r="H273" s="24" t="e">
        <f>G273/D273</f>
        <v>#DIV/0!</v>
      </c>
      <c r="I273" s="225"/>
      <c r="J273" s="186"/>
      <c r="L273" s="404"/>
    </row>
    <row r="274" spans="1:12" s="187" customFormat="1" x14ac:dyDescent="0.25">
      <c r="A274" s="188"/>
      <c r="B274" s="190"/>
      <c r="C274" s="193" t="s">
        <v>657</v>
      </c>
      <c r="D274" s="192"/>
      <c r="E274" s="181">
        <f>'Realisasi Sept'!G274</f>
        <v>0</v>
      </c>
      <c r="F274" s="181"/>
      <c r="G274" s="192">
        <f>E274+F274</f>
        <v>0</v>
      </c>
      <c r="H274" s="24" t="e">
        <f>G274/D274</f>
        <v>#DIV/0!</v>
      </c>
      <c r="I274" s="225"/>
      <c r="J274" s="186"/>
      <c r="L274" s="404"/>
    </row>
    <row r="275" spans="1:12" s="187" customFormat="1" x14ac:dyDescent="0.25">
      <c r="A275" s="188"/>
      <c r="B275" s="190"/>
      <c r="C275" s="193"/>
      <c r="D275" s="192"/>
      <c r="E275" s="181"/>
      <c r="F275" s="181"/>
      <c r="G275" s="192"/>
      <c r="H275" s="24"/>
      <c r="I275" s="225"/>
      <c r="J275" s="186"/>
      <c r="L275" s="404"/>
    </row>
    <row r="276" spans="1:12" s="187" customFormat="1" x14ac:dyDescent="0.25">
      <c r="A276" s="188" t="s">
        <v>411</v>
      </c>
      <c r="B276" s="189" t="s">
        <v>362</v>
      </c>
      <c r="C276" s="185" t="s">
        <v>363</v>
      </c>
      <c r="D276" s="191">
        <v>2892430000</v>
      </c>
      <c r="E276" s="196">
        <f>'Realisasi Sept'!G276</f>
        <v>676627200</v>
      </c>
      <c r="F276" s="196">
        <f t="shared" ref="F276:G276" si="103">F277</f>
        <v>1203452300</v>
      </c>
      <c r="G276" s="196">
        <f t="shared" si="103"/>
        <v>1880079500</v>
      </c>
      <c r="H276" s="236">
        <f>G276/D276</f>
        <v>0.65</v>
      </c>
      <c r="I276" s="225" t="s">
        <v>167</v>
      </c>
      <c r="J276" s="186"/>
      <c r="L276" s="404"/>
    </row>
    <row r="277" spans="1:12" s="187" customFormat="1" x14ac:dyDescent="0.25">
      <c r="A277" s="188"/>
      <c r="B277" s="190"/>
      <c r="C277" s="193" t="s">
        <v>658</v>
      </c>
      <c r="D277" s="192"/>
      <c r="E277" s="181">
        <f>'Realisasi Sept'!G277</f>
        <v>676627200</v>
      </c>
      <c r="F277" s="181">
        <v>1203452300</v>
      </c>
      <c r="G277" s="192">
        <f>E277+F277</f>
        <v>1880079500</v>
      </c>
      <c r="H277" s="24" t="e">
        <f>G277/D277</f>
        <v>#DIV/0!</v>
      </c>
      <c r="I277" s="225"/>
      <c r="J277" s="186"/>
      <c r="L277" s="404"/>
    </row>
    <row r="278" spans="1:12" s="187" customFormat="1" x14ac:dyDescent="0.25">
      <c r="A278" s="188"/>
      <c r="B278" s="190"/>
      <c r="C278" s="193" t="s">
        <v>659</v>
      </c>
      <c r="D278" s="192"/>
      <c r="E278" s="181">
        <f>'Realisasi Sept'!G278</f>
        <v>0</v>
      </c>
      <c r="F278" s="181"/>
      <c r="G278" s="192">
        <f>E278+F278</f>
        <v>0</v>
      </c>
      <c r="H278" s="24" t="e">
        <f>G278/D278</f>
        <v>#DIV/0!</v>
      </c>
      <c r="I278" s="225"/>
      <c r="J278" s="186"/>
      <c r="L278" s="404"/>
    </row>
    <row r="279" spans="1:12" s="187" customFormat="1" x14ac:dyDescent="0.25">
      <c r="A279" s="188"/>
      <c r="B279" s="190"/>
      <c r="C279" s="193"/>
      <c r="D279" s="192"/>
      <c r="E279" s="181"/>
      <c r="F279" s="181"/>
      <c r="G279" s="192">
        <f t="shared" ref="G279" si="104">F279</f>
        <v>0</v>
      </c>
      <c r="H279" s="24"/>
      <c r="I279" s="225"/>
      <c r="J279" s="186"/>
      <c r="L279" s="404"/>
    </row>
    <row r="280" spans="1:12" s="187" customFormat="1" x14ac:dyDescent="0.25">
      <c r="A280" s="188" t="s">
        <v>412</v>
      </c>
      <c r="B280" s="189" t="s">
        <v>364</v>
      </c>
      <c r="C280" s="185" t="s">
        <v>365</v>
      </c>
      <c r="D280" s="191">
        <v>8409123000</v>
      </c>
      <c r="E280" s="196">
        <f>'Realisasi Sept'!G280</f>
        <v>2519246400</v>
      </c>
      <c r="F280" s="196">
        <f t="shared" ref="F280:G280" si="105">F281</f>
        <v>0</v>
      </c>
      <c r="G280" s="196">
        <f t="shared" si="105"/>
        <v>2519246400</v>
      </c>
      <c r="H280" s="236">
        <f>G280/D280</f>
        <v>0.29958491509756724</v>
      </c>
      <c r="I280" s="225" t="s">
        <v>167</v>
      </c>
      <c r="J280" s="186"/>
      <c r="L280" s="404"/>
    </row>
    <row r="281" spans="1:12" s="187" customFormat="1" x14ac:dyDescent="0.25">
      <c r="A281" s="188"/>
      <c r="B281" s="190"/>
      <c r="C281" s="193" t="s">
        <v>660</v>
      </c>
      <c r="D281" s="192"/>
      <c r="E281" s="181">
        <f>'Realisasi Sept'!G281</f>
        <v>2519246400</v>
      </c>
      <c r="F281" s="181"/>
      <c r="G281" s="192">
        <f>E281+F281</f>
        <v>2519246400</v>
      </c>
      <c r="H281" s="24" t="e">
        <f>G281/D281</f>
        <v>#DIV/0!</v>
      </c>
      <c r="I281" s="225"/>
      <c r="J281" s="186"/>
      <c r="L281" s="404"/>
    </row>
    <row r="282" spans="1:12" s="187" customFormat="1" x14ac:dyDescent="0.25">
      <c r="A282" s="188"/>
      <c r="B282" s="190"/>
      <c r="C282" s="35" t="s">
        <v>529</v>
      </c>
      <c r="D282" s="191"/>
      <c r="E282" s="181">
        <f>'Realisasi Sept'!G282</f>
        <v>0</v>
      </c>
      <c r="F282" s="196">
        <f>SUM(F283:F283)</f>
        <v>0</v>
      </c>
      <c r="G282" s="192">
        <f t="shared" ref="G282:G283" si="106">E282+F282</f>
        <v>0</v>
      </c>
      <c r="H282" s="236" t="e">
        <f>G282/D282</f>
        <v>#DIV/0!</v>
      </c>
      <c r="I282" s="225"/>
      <c r="J282" s="186"/>
      <c r="L282" s="404"/>
    </row>
    <row r="283" spans="1:12" s="187" customFormat="1" x14ac:dyDescent="0.25">
      <c r="A283" s="188"/>
      <c r="B283" s="190"/>
      <c r="C283" s="193" t="s">
        <v>661</v>
      </c>
      <c r="D283" s="192"/>
      <c r="E283" s="181">
        <f>'Realisasi Sept'!G283</f>
        <v>0</v>
      </c>
      <c r="F283" s="181"/>
      <c r="G283" s="192">
        <f t="shared" si="106"/>
        <v>0</v>
      </c>
      <c r="H283" s="24" t="e">
        <f>G283/D283</f>
        <v>#DIV/0!</v>
      </c>
      <c r="I283" s="225"/>
      <c r="J283" s="186"/>
      <c r="L283" s="404"/>
    </row>
    <row r="284" spans="1:12" s="187" customFormat="1" x14ac:dyDescent="0.25">
      <c r="A284" s="188"/>
      <c r="B284" s="190"/>
      <c r="C284" s="193"/>
      <c r="D284" s="192"/>
      <c r="E284" s="181"/>
      <c r="F284" s="181"/>
      <c r="G284" s="192"/>
      <c r="H284" s="24"/>
      <c r="I284" s="225"/>
      <c r="J284" s="186"/>
      <c r="L284" s="404"/>
    </row>
    <row r="285" spans="1:12" s="187" customFormat="1" hidden="1" x14ac:dyDescent="0.25">
      <c r="A285" s="188" t="s">
        <v>464</v>
      </c>
      <c r="B285" s="189" t="s">
        <v>466</v>
      </c>
      <c r="C285" s="185" t="s">
        <v>467</v>
      </c>
      <c r="D285" s="191"/>
      <c r="E285" s="181" t="e">
        <f>'Realisasi Sept'!G285</f>
        <v>#REF!</v>
      </c>
      <c r="F285" s="196">
        <f t="shared" ref="F285:G285" si="107">SUM(F286:F287)</f>
        <v>0</v>
      </c>
      <c r="G285" s="191" t="e">
        <f t="shared" si="107"/>
        <v>#REF!</v>
      </c>
      <c r="H285" s="24"/>
      <c r="I285" s="225"/>
      <c r="J285" s="186"/>
      <c r="L285" s="404"/>
    </row>
    <row r="286" spans="1:12" s="187" customFormat="1" hidden="1" x14ac:dyDescent="0.25">
      <c r="A286" s="188"/>
      <c r="B286" s="190"/>
      <c r="C286" s="193" t="s">
        <v>487</v>
      </c>
      <c r="D286" s="192"/>
      <c r="E286" s="181" t="e">
        <f>'Realisasi Sept'!G286</f>
        <v>#REF!</v>
      </c>
      <c r="F286" s="181">
        <v>0</v>
      </c>
      <c r="G286" s="192" t="e">
        <f>#REF!+F286</f>
        <v>#REF!</v>
      </c>
      <c r="H286" s="24"/>
      <c r="I286" s="225"/>
      <c r="J286" s="186"/>
      <c r="L286" s="404"/>
    </row>
    <row r="287" spans="1:12" s="187" customFormat="1" hidden="1" x14ac:dyDescent="0.25">
      <c r="A287" s="188"/>
      <c r="B287" s="190"/>
      <c r="C287" s="193"/>
      <c r="D287" s="192"/>
      <c r="E287" s="181">
        <f>'Realisasi Sept'!G287</f>
        <v>0</v>
      </c>
      <c r="F287" s="181"/>
      <c r="G287" s="192"/>
      <c r="H287" s="24"/>
      <c r="I287" s="225"/>
      <c r="J287" s="186"/>
      <c r="L287" s="404"/>
    </row>
    <row r="288" spans="1:12" s="187" customFormat="1" x14ac:dyDescent="0.25">
      <c r="A288" s="188" t="s">
        <v>465</v>
      </c>
      <c r="B288" s="189" t="s">
        <v>366</v>
      </c>
      <c r="C288" s="185" t="s">
        <v>367</v>
      </c>
      <c r="D288" s="191">
        <v>1958311000</v>
      </c>
      <c r="E288" s="196">
        <f>'Realisasi Sept'!G288</f>
        <v>575647800</v>
      </c>
      <c r="F288" s="196">
        <f t="shared" ref="F288:G288" si="108">F289</f>
        <v>697254350</v>
      </c>
      <c r="G288" s="196">
        <f t="shared" si="108"/>
        <v>1272902150</v>
      </c>
      <c r="H288" s="236">
        <f>G288/D288</f>
        <v>0.65</v>
      </c>
      <c r="I288" s="225" t="s">
        <v>167</v>
      </c>
      <c r="J288" s="186"/>
      <c r="L288" s="404"/>
    </row>
    <row r="289" spans="1:12" s="187" customFormat="1" x14ac:dyDescent="0.25">
      <c r="A289" s="188"/>
      <c r="B289" s="190"/>
      <c r="C289" s="193" t="s">
        <v>662</v>
      </c>
      <c r="D289" s="192"/>
      <c r="E289" s="181">
        <f>'Realisasi Sept'!G289</f>
        <v>575647800</v>
      </c>
      <c r="F289" s="181">
        <v>697254350</v>
      </c>
      <c r="G289" s="192">
        <f>E289+F289</f>
        <v>1272902150</v>
      </c>
      <c r="H289" s="24" t="e">
        <f>G289/D289</f>
        <v>#DIV/0!</v>
      </c>
      <c r="I289" s="225"/>
      <c r="J289" s="186"/>
      <c r="L289" s="404"/>
    </row>
    <row r="290" spans="1:12" s="187" customFormat="1" x14ac:dyDescent="0.25">
      <c r="A290" s="188"/>
      <c r="B290" s="190"/>
      <c r="C290" s="35" t="s">
        <v>530</v>
      </c>
      <c r="D290" s="191"/>
      <c r="E290" s="181">
        <f>'Realisasi Sept'!G290</f>
        <v>0</v>
      </c>
      <c r="F290" s="196">
        <f>SUM(F291:F291)</f>
        <v>0</v>
      </c>
      <c r="G290" s="191">
        <f>SUM(G291:G291)</f>
        <v>0</v>
      </c>
      <c r="H290" s="236" t="e">
        <f>G290/D290</f>
        <v>#DIV/0!</v>
      </c>
      <c r="I290" s="225"/>
      <c r="J290" s="186"/>
      <c r="L290" s="404"/>
    </row>
    <row r="291" spans="1:12" s="187" customFormat="1" x14ac:dyDescent="0.25">
      <c r="A291" s="188"/>
      <c r="B291" s="190"/>
      <c r="C291" s="193" t="s">
        <v>663</v>
      </c>
      <c r="D291" s="192"/>
      <c r="E291" s="181">
        <f>'Realisasi Sept'!G291</f>
        <v>0</v>
      </c>
      <c r="F291" s="181"/>
      <c r="G291" s="192">
        <f>E291+F291</f>
        <v>0</v>
      </c>
      <c r="H291" s="24" t="e">
        <f>G291/D291</f>
        <v>#DIV/0!</v>
      </c>
      <c r="I291" s="225"/>
      <c r="J291" s="186"/>
      <c r="L291" s="404"/>
    </row>
    <row r="292" spans="1:12" s="176" customFormat="1" x14ac:dyDescent="0.25">
      <c r="A292" s="27"/>
      <c r="B292" s="178"/>
      <c r="C292" s="183"/>
      <c r="D292" s="192"/>
      <c r="E292" s="192"/>
      <c r="F292" s="181"/>
      <c r="G292" s="191"/>
      <c r="H292" s="236"/>
      <c r="I292" s="224"/>
      <c r="J292" s="175"/>
      <c r="L292" s="3"/>
    </row>
    <row r="293" spans="1:12" s="176" customFormat="1" x14ac:dyDescent="0.25">
      <c r="A293" s="138" t="s">
        <v>169</v>
      </c>
      <c r="B293" s="139" t="s">
        <v>368</v>
      </c>
      <c r="C293" s="140" t="s">
        <v>369</v>
      </c>
      <c r="D293" s="142">
        <v>429554051000</v>
      </c>
      <c r="E293" s="142">
        <f>'Realisasi Sept'!G293</f>
        <v>356149906138</v>
      </c>
      <c r="F293" s="142">
        <v>35796170000</v>
      </c>
      <c r="G293" s="141">
        <f>E293+F293</f>
        <v>391946076138</v>
      </c>
      <c r="H293" s="240">
        <f>G293/D293</f>
        <v>0.91244879480370678</v>
      </c>
      <c r="I293" s="225" t="s">
        <v>468</v>
      </c>
      <c r="J293" s="175"/>
      <c r="L293" s="3"/>
    </row>
    <row r="294" spans="1:12" s="176" customFormat="1" x14ac:dyDescent="0.25">
      <c r="A294" s="27"/>
      <c r="B294" s="178"/>
      <c r="C294" s="39"/>
      <c r="D294" s="38"/>
      <c r="E294" s="38"/>
      <c r="F294" s="405"/>
      <c r="G294" s="38"/>
      <c r="H294" s="241"/>
      <c r="I294" s="225"/>
      <c r="J294" s="175"/>
      <c r="L294" s="3"/>
    </row>
    <row r="295" spans="1:12" s="176" customFormat="1" x14ac:dyDescent="0.25">
      <c r="A295" s="138" t="s">
        <v>170</v>
      </c>
      <c r="B295" s="139" t="s">
        <v>370</v>
      </c>
      <c r="C295" s="140" t="s">
        <v>371</v>
      </c>
      <c r="D295" s="141">
        <f>SUM(D297+D350+D327)</f>
        <v>62721068973</v>
      </c>
      <c r="E295" s="141">
        <f t="shared" ref="E295:G295" si="109">SUM(E297+E350+E327)</f>
        <v>42382107879</v>
      </c>
      <c r="F295" s="142">
        <f t="shared" si="109"/>
        <v>4765139200</v>
      </c>
      <c r="G295" s="141">
        <f t="shared" si="109"/>
        <v>47147247079</v>
      </c>
      <c r="H295" s="240">
        <f>G295/D295</f>
        <v>0.75169712268928046</v>
      </c>
      <c r="I295" s="225" t="s">
        <v>469</v>
      </c>
      <c r="J295" s="175"/>
      <c r="L295" s="3"/>
    </row>
    <row r="296" spans="1:12" s="176" customFormat="1" x14ac:dyDescent="0.25">
      <c r="A296" s="40"/>
      <c r="B296" s="22"/>
      <c r="C296" s="185"/>
      <c r="D296" s="191"/>
      <c r="E296" s="191"/>
      <c r="F296" s="196"/>
      <c r="G296" s="191"/>
      <c r="H296" s="236"/>
      <c r="I296" s="224"/>
      <c r="J296" s="175"/>
      <c r="L296" s="3"/>
    </row>
    <row r="297" spans="1:12" s="176" customFormat="1" ht="38.25" customHeight="1" x14ac:dyDescent="0.25">
      <c r="A297" s="293"/>
      <c r="B297" s="262" t="s">
        <v>413</v>
      </c>
      <c r="C297" s="41" t="s">
        <v>171</v>
      </c>
      <c r="D297" s="42">
        <f>SUM(D304+D311+D313+D315+D317+D319+D321+D298+D324)</f>
        <v>62721068973</v>
      </c>
      <c r="E297" s="42">
        <f>E298+E304+E315+E317+E321+E324</f>
        <v>42382107879</v>
      </c>
      <c r="F297" s="406">
        <f t="shared" ref="F297:G297" si="110">F298+F304+F315+F317+F321+F324</f>
        <v>4765139200</v>
      </c>
      <c r="G297" s="42">
        <f t="shared" si="110"/>
        <v>47147247079</v>
      </c>
      <c r="H297" s="237">
        <f t="shared" ref="H297:H320" si="111">G297/D297</f>
        <v>0.75169712268928046</v>
      </c>
      <c r="I297" s="225" t="s">
        <v>470</v>
      </c>
      <c r="J297" s="175"/>
      <c r="L297" s="3"/>
    </row>
    <row r="298" spans="1:12" s="176" customFormat="1" x14ac:dyDescent="0.25">
      <c r="A298" s="40"/>
      <c r="B298" s="43">
        <v>1</v>
      </c>
      <c r="C298" s="185" t="s">
        <v>172</v>
      </c>
      <c r="D298" s="191">
        <f>SUM(D299:D303)</f>
        <v>23287427000</v>
      </c>
      <c r="E298" s="191">
        <f>SUM(E299:E303)</f>
        <v>16887041500</v>
      </c>
      <c r="F298" s="196">
        <f t="shared" ref="F298:G298" si="112">SUM(F299:F303)</f>
        <v>0</v>
      </c>
      <c r="G298" s="191">
        <f t="shared" si="112"/>
        <v>16887041500</v>
      </c>
      <c r="H298" s="236">
        <f t="shared" si="111"/>
        <v>0.72515703430868517</v>
      </c>
      <c r="I298" s="225"/>
      <c r="J298" s="175"/>
      <c r="L298" s="3"/>
    </row>
    <row r="299" spans="1:12" s="176" customFormat="1" x14ac:dyDescent="0.25">
      <c r="A299" s="40"/>
      <c r="B299" s="190" t="s">
        <v>531</v>
      </c>
      <c r="C299" s="193" t="s">
        <v>173</v>
      </c>
      <c r="D299" s="192">
        <v>1376396000</v>
      </c>
      <c r="E299" s="192">
        <f>'Realisasi Sept'!G299</f>
        <v>735977200</v>
      </c>
      <c r="F299" s="181"/>
      <c r="G299" s="192">
        <f>E299+F299</f>
        <v>735977200</v>
      </c>
      <c r="H299" s="24">
        <f t="shared" si="111"/>
        <v>0.53471326565901089</v>
      </c>
      <c r="I299" s="225" t="s">
        <v>471</v>
      </c>
      <c r="J299" s="175"/>
      <c r="L299" s="3"/>
    </row>
    <row r="300" spans="1:12" s="176" customFormat="1" x14ac:dyDescent="0.25">
      <c r="A300" s="40"/>
      <c r="B300" s="190" t="s">
        <v>532</v>
      </c>
      <c r="C300" s="193" t="s">
        <v>174</v>
      </c>
      <c r="D300" s="192">
        <v>10775078000</v>
      </c>
      <c r="E300" s="192">
        <f>'Realisasi Sept'!G300</f>
        <v>8870817600</v>
      </c>
      <c r="F300" s="181"/>
      <c r="G300" s="192">
        <f t="shared" ref="G300:G303" si="113">E300+F300</f>
        <v>8870817600</v>
      </c>
      <c r="H300" s="24">
        <f t="shared" si="111"/>
        <v>0.82327177585164579</v>
      </c>
      <c r="I300" s="225" t="s">
        <v>471</v>
      </c>
      <c r="J300" s="175"/>
      <c r="L300" s="3"/>
    </row>
    <row r="301" spans="1:12" s="176" customFormat="1" x14ac:dyDescent="0.25">
      <c r="A301" s="40"/>
      <c r="B301" s="190" t="s">
        <v>533</v>
      </c>
      <c r="C301" s="193" t="s">
        <v>175</v>
      </c>
      <c r="D301" s="192">
        <v>10360454000</v>
      </c>
      <c r="E301" s="192">
        <f>'Realisasi Sept'!G301</f>
        <v>6507230800</v>
      </c>
      <c r="F301" s="181"/>
      <c r="G301" s="192">
        <f t="shared" si="113"/>
        <v>6507230800</v>
      </c>
      <c r="H301" s="24">
        <f t="shared" si="111"/>
        <v>0.62808355695609475</v>
      </c>
      <c r="I301" s="225" t="s">
        <v>471</v>
      </c>
      <c r="J301" s="175"/>
      <c r="L301" s="3"/>
    </row>
    <row r="302" spans="1:12" s="176" customFormat="1" x14ac:dyDescent="0.25">
      <c r="A302" s="40"/>
      <c r="B302" s="190"/>
      <c r="C302" s="193" t="s">
        <v>684</v>
      </c>
      <c r="D302" s="192">
        <v>470885000</v>
      </c>
      <c r="E302" s="192">
        <f>'Realisasi Sept'!G302</f>
        <v>470885000</v>
      </c>
      <c r="F302" s="181"/>
      <c r="G302" s="192">
        <f t="shared" si="113"/>
        <v>470885000</v>
      </c>
      <c r="H302" s="24">
        <f t="shared" si="111"/>
        <v>1</v>
      </c>
      <c r="I302" s="225"/>
      <c r="J302" s="175"/>
      <c r="L302" s="3"/>
    </row>
    <row r="303" spans="1:12" s="176" customFormat="1" x14ac:dyDescent="0.25">
      <c r="A303" s="40"/>
      <c r="B303" s="190" t="s">
        <v>534</v>
      </c>
      <c r="C303" s="193" t="s">
        <v>176</v>
      </c>
      <c r="D303" s="192">
        <v>304614000</v>
      </c>
      <c r="E303" s="192">
        <f>'Realisasi Sept'!G303</f>
        <v>302130900</v>
      </c>
      <c r="F303" s="181"/>
      <c r="G303" s="192">
        <f t="shared" si="113"/>
        <v>302130900</v>
      </c>
      <c r="H303" s="24">
        <f t="shared" si="111"/>
        <v>0.99184837203805476</v>
      </c>
      <c r="I303" s="225" t="s">
        <v>471</v>
      </c>
      <c r="J303" s="175"/>
      <c r="L303" s="3"/>
    </row>
    <row r="304" spans="1:12" s="176" customFormat="1" x14ac:dyDescent="0.25">
      <c r="A304" s="40"/>
      <c r="B304" s="43">
        <v>2</v>
      </c>
      <c r="C304" s="185" t="s">
        <v>177</v>
      </c>
      <c r="D304" s="191">
        <f>SUM(D305:D310)</f>
        <v>21101016973</v>
      </c>
      <c r="E304" s="191">
        <f t="shared" ref="E304:G304" si="114">SUM(E305:E310)</f>
        <v>14823955979</v>
      </c>
      <c r="F304" s="196">
        <f t="shared" si="114"/>
        <v>2603412100</v>
      </c>
      <c r="G304" s="191">
        <f t="shared" si="114"/>
        <v>17427368079</v>
      </c>
      <c r="H304" s="236">
        <f t="shared" si="111"/>
        <v>0.82590180849100059</v>
      </c>
      <c r="I304" s="225"/>
      <c r="J304" s="175"/>
      <c r="L304" s="3"/>
    </row>
    <row r="305" spans="1:12" s="176" customFormat="1" x14ac:dyDescent="0.25">
      <c r="A305" s="40"/>
      <c r="B305" s="190" t="s">
        <v>535</v>
      </c>
      <c r="C305" s="193" t="s">
        <v>178</v>
      </c>
      <c r="D305" s="192"/>
      <c r="E305" s="192">
        <f>'Realisasi Sept'!G305</f>
        <v>0</v>
      </c>
      <c r="F305" s="181"/>
      <c r="G305" s="192">
        <f>E305+F305</f>
        <v>0</v>
      </c>
      <c r="H305" s="24" t="e">
        <f t="shared" si="111"/>
        <v>#DIV/0!</v>
      </c>
      <c r="I305" s="225" t="s">
        <v>471</v>
      </c>
      <c r="J305" s="175"/>
      <c r="L305" s="3"/>
    </row>
    <row r="306" spans="1:12" s="176" customFormat="1" x14ac:dyDescent="0.25">
      <c r="A306" s="40"/>
      <c r="B306" s="190" t="s">
        <v>536</v>
      </c>
      <c r="C306" s="193" t="s">
        <v>372</v>
      </c>
      <c r="D306" s="192"/>
      <c r="E306" s="192">
        <f>'Realisasi Sept'!G306</f>
        <v>0</v>
      </c>
      <c r="F306" s="181"/>
      <c r="G306" s="192">
        <f t="shared" ref="G306:G318" si="115">E306+F306</f>
        <v>0</v>
      </c>
      <c r="H306" s="24" t="e">
        <f t="shared" si="111"/>
        <v>#DIV/0!</v>
      </c>
      <c r="I306" s="225" t="s">
        <v>471</v>
      </c>
      <c r="J306" s="175"/>
      <c r="L306" s="3"/>
    </row>
    <row r="307" spans="1:12" s="176" customFormat="1" x14ac:dyDescent="0.25">
      <c r="A307" s="40"/>
      <c r="B307" s="190" t="s">
        <v>537</v>
      </c>
      <c r="C307" s="193" t="s">
        <v>179</v>
      </c>
      <c r="D307" s="192">
        <v>2892701000</v>
      </c>
      <c r="E307" s="192">
        <f>'Realisasi Sept'!G307</f>
        <v>1524806531</v>
      </c>
      <c r="F307" s="181"/>
      <c r="G307" s="192">
        <f t="shared" si="115"/>
        <v>1524806531</v>
      </c>
      <c r="H307" s="24">
        <f t="shared" si="111"/>
        <v>0.52712206723059174</v>
      </c>
      <c r="I307" s="225" t="s">
        <v>471</v>
      </c>
      <c r="J307" s="175"/>
      <c r="L307" s="3"/>
    </row>
    <row r="308" spans="1:12" s="176" customFormat="1" x14ac:dyDescent="0.25">
      <c r="A308" s="40"/>
      <c r="B308" s="190" t="s">
        <v>538</v>
      </c>
      <c r="C308" s="193" t="s">
        <v>180</v>
      </c>
      <c r="D308" s="192">
        <v>12902970863</v>
      </c>
      <c r="E308" s="192">
        <f>'Realisasi Sept'!G308</f>
        <v>9826111340</v>
      </c>
      <c r="F308" s="181">
        <v>1029532100</v>
      </c>
      <c r="G308" s="192">
        <f t="shared" si="115"/>
        <v>10855643440</v>
      </c>
      <c r="H308" s="24">
        <f t="shared" si="111"/>
        <v>0.84132898967703418</v>
      </c>
      <c r="I308" s="225" t="s">
        <v>471</v>
      </c>
      <c r="J308" s="175"/>
      <c r="L308" s="3"/>
    </row>
    <row r="309" spans="1:12" s="176" customFormat="1" x14ac:dyDescent="0.25">
      <c r="A309" s="40"/>
      <c r="B309" s="190" t="s">
        <v>373</v>
      </c>
      <c r="C309" s="193" t="s">
        <v>181</v>
      </c>
      <c r="D309" s="192">
        <v>1124477000</v>
      </c>
      <c r="E309" s="192">
        <f>'Realisasi Sept'!G309</f>
        <v>1081330000</v>
      </c>
      <c r="F309" s="181"/>
      <c r="G309" s="192">
        <f t="shared" si="115"/>
        <v>1081330000</v>
      </c>
      <c r="H309" s="24">
        <f t="shared" si="111"/>
        <v>0.96162927298646395</v>
      </c>
      <c r="I309" s="225" t="s">
        <v>471</v>
      </c>
      <c r="J309" s="175"/>
      <c r="L309" s="3"/>
    </row>
    <row r="310" spans="1:12" s="176" customFormat="1" x14ac:dyDescent="0.25">
      <c r="A310" s="40"/>
      <c r="B310" s="190"/>
      <c r="C310" s="193" t="s">
        <v>706</v>
      </c>
      <c r="D310" s="192">
        <v>4180868110</v>
      </c>
      <c r="E310" s="192">
        <f>'Realisasi Sept'!G310</f>
        <v>2391708108</v>
      </c>
      <c r="F310" s="181">
        <v>1573880000</v>
      </c>
      <c r="G310" s="192">
        <f t="shared" si="115"/>
        <v>3965588108</v>
      </c>
      <c r="H310" s="24">
        <f t="shared" si="111"/>
        <v>0.94850830106668926</v>
      </c>
      <c r="I310" s="225"/>
      <c r="J310" s="175"/>
      <c r="L310" s="3"/>
    </row>
    <row r="311" spans="1:12" s="176" customFormat="1" x14ac:dyDescent="0.25">
      <c r="A311" s="40"/>
      <c r="B311" s="43">
        <v>3</v>
      </c>
      <c r="C311" s="185" t="s">
        <v>182</v>
      </c>
      <c r="D311" s="191">
        <f>SUM(D312:D312)</f>
        <v>0</v>
      </c>
      <c r="E311" s="192">
        <f>'Realisasi Juli'!G316</f>
        <v>0</v>
      </c>
      <c r="F311" s="196"/>
      <c r="G311" s="192">
        <f t="shared" si="115"/>
        <v>0</v>
      </c>
      <c r="H311" s="24" t="e">
        <f t="shared" si="111"/>
        <v>#DIV/0!</v>
      </c>
      <c r="I311" s="224"/>
      <c r="J311" s="175"/>
      <c r="L311" s="3"/>
    </row>
    <row r="312" spans="1:12" s="176" customFormat="1" x14ac:dyDescent="0.25">
      <c r="A312" s="40"/>
      <c r="B312" s="44"/>
      <c r="C312" s="193" t="s">
        <v>183</v>
      </c>
      <c r="D312" s="192">
        <v>0</v>
      </c>
      <c r="E312" s="192">
        <f>'Realisasi Juli'!G317</f>
        <v>0</v>
      </c>
      <c r="F312" s="181"/>
      <c r="G312" s="192">
        <f t="shared" si="115"/>
        <v>0</v>
      </c>
      <c r="H312" s="24" t="e">
        <f t="shared" si="111"/>
        <v>#DIV/0!</v>
      </c>
      <c r="I312" s="223"/>
      <c r="J312" s="175"/>
      <c r="L312" s="3"/>
    </row>
    <row r="313" spans="1:12" s="176" customFormat="1" x14ac:dyDescent="0.25">
      <c r="A313" s="40"/>
      <c r="B313" s="43">
        <v>4</v>
      </c>
      <c r="C313" s="185" t="s">
        <v>184</v>
      </c>
      <c r="D313" s="191">
        <f>SUM(D314:D314)</f>
        <v>0</v>
      </c>
      <c r="E313" s="192">
        <f>'Realisasi Juli'!G318</f>
        <v>0</v>
      </c>
      <c r="F313" s="196"/>
      <c r="G313" s="192">
        <f t="shared" si="115"/>
        <v>0</v>
      </c>
      <c r="H313" s="24" t="e">
        <f t="shared" si="111"/>
        <v>#DIV/0!</v>
      </c>
      <c r="I313" s="223"/>
      <c r="J313" s="175"/>
      <c r="L313" s="3"/>
    </row>
    <row r="314" spans="1:12" s="176" customFormat="1" x14ac:dyDescent="0.25">
      <c r="A314" s="40"/>
      <c r="B314" s="44"/>
      <c r="C314" s="193" t="s">
        <v>185</v>
      </c>
      <c r="D314" s="192">
        <v>0</v>
      </c>
      <c r="E314" s="192">
        <f>'Realisasi Juli'!G319</f>
        <v>0</v>
      </c>
      <c r="F314" s="181"/>
      <c r="G314" s="192">
        <f t="shared" si="115"/>
        <v>0</v>
      </c>
      <c r="H314" s="24" t="e">
        <f t="shared" si="111"/>
        <v>#DIV/0!</v>
      </c>
      <c r="I314" s="223"/>
      <c r="J314" s="175"/>
      <c r="L314" s="3"/>
    </row>
    <row r="315" spans="1:12" s="176" customFormat="1" x14ac:dyDescent="0.25">
      <c r="A315" s="40"/>
      <c r="B315" s="43">
        <v>3</v>
      </c>
      <c r="C315" s="35" t="s">
        <v>186</v>
      </c>
      <c r="D315" s="191">
        <f>SUM(D316:D316)</f>
        <v>4803838000</v>
      </c>
      <c r="E315" s="191">
        <f t="shared" ref="E315:G315" si="116">SUM(E316:E316)</f>
        <v>1200959500</v>
      </c>
      <c r="F315" s="196">
        <f t="shared" si="116"/>
        <v>2161727100</v>
      </c>
      <c r="G315" s="191">
        <f t="shared" si="116"/>
        <v>3362686600</v>
      </c>
      <c r="H315" s="236">
        <f t="shared" si="111"/>
        <v>0.7</v>
      </c>
      <c r="I315" s="223"/>
      <c r="J315" s="175"/>
      <c r="L315" s="3"/>
    </row>
    <row r="316" spans="1:12" s="176" customFormat="1" x14ac:dyDescent="0.25">
      <c r="A316" s="40"/>
      <c r="B316" s="190" t="s">
        <v>374</v>
      </c>
      <c r="C316" s="193" t="s">
        <v>187</v>
      </c>
      <c r="D316" s="192">
        <v>4803838000</v>
      </c>
      <c r="E316" s="192">
        <f>'Realisasi Sept'!G316</f>
        <v>1200959500</v>
      </c>
      <c r="F316" s="181">
        <v>2161727100</v>
      </c>
      <c r="G316" s="192">
        <f t="shared" si="115"/>
        <v>3362686600</v>
      </c>
      <c r="H316" s="24">
        <f t="shared" si="111"/>
        <v>0.7</v>
      </c>
      <c r="I316" s="225"/>
      <c r="J316" s="175"/>
      <c r="L316" s="3"/>
    </row>
    <row r="317" spans="1:12" s="176" customFormat="1" x14ac:dyDescent="0.25">
      <c r="A317" s="40"/>
      <c r="B317" s="43">
        <v>4</v>
      </c>
      <c r="C317" s="185" t="s">
        <v>188</v>
      </c>
      <c r="D317" s="191">
        <f>SUM(D318)</f>
        <v>6188582000</v>
      </c>
      <c r="E317" s="191">
        <f t="shared" ref="E317:G317" si="117">SUM(E318)</f>
        <v>4332007400</v>
      </c>
      <c r="F317" s="196">
        <f t="shared" si="117"/>
        <v>0</v>
      </c>
      <c r="G317" s="191">
        <f t="shared" si="117"/>
        <v>4332007400</v>
      </c>
      <c r="H317" s="236">
        <f t="shared" si="111"/>
        <v>0.7</v>
      </c>
      <c r="I317" s="223"/>
      <c r="J317" s="175"/>
      <c r="L317" s="3"/>
    </row>
    <row r="318" spans="1:12" s="176" customFormat="1" x14ac:dyDescent="0.25">
      <c r="A318" s="40"/>
      <c r="B318" s="190" t="s">
        <v>375</v>
      </c>
      <c r="C318" s="193" t="s">
        <v>189</v>
      </c>
      <c r="D318" s="192">
        <v>6188582000</v>
      </c>
      <c r="E318" s="192">
        <f>'Realisasi Sept'!G318</f>
        <v>4332007400</v>
      </c>
      <c r="F318" s="181"/>
      <c r="G318" s="192">
        <f t="shared" si="115"/>
        <v>4332007400</v>
      </c>
      <c r="H318" s="24">
        <f t="shared" si="111"/>
        <v>0.7</v>
      </c>
      <c r="I318" s="225"/>
      <c r="J318" s="175"/>
      <c r="L318" s="3"/>
    </row>
    <row r="319" spans="1:12" s="176" customFormat="1" hidden="1" x14ac:dyDescent="0.25">
      <c r="A319" s="40"/>
      <c r="B319" s="43">
        <v>5</v>
      </c>
      <c r="C319" s="185" t="s">
        <v>190</v>
      </c>
      <c r="D319" s="191">
        <f>SUM(D320)</f>
        <v>0</v>
      </c>
      <c r="E319" s="191"/>
      <c r="F319" s="196">
        <f>SUM(F320)</f>
        <v>0</v>
      </c>
      <c r="G319" s="192" t="e">
        <f>#REF!+F319</f>
        <v>#REF!</v>
      </c>
      <c r="H319" s="24" t="e">
        <f t="shared" si="111"/>
        <v>#REF!</v>
      </c>
      <c r="I319" s="224"/>
      <c r="J319" s="175"/>
      <c r="L319" s="3"/>
    </row>
    <row r="320" spans="1:12" s="176" customFormat="1" hidden="1" x14ac:dyDescent="0.25">
      <c r="A320" s="40"/>
      <c r="B320" s="44"/>
      <c r="C320" s="193" t="s">
        <v>191</v>
      </c>
      <c r="D320" s="192">
        <v>0</v>
      </c>
      <c r="E320" s="192"/>
      <c r="F320" s="181">
        <v>0</v>
      </c>
      <c r="G320" s="192" t="e">
        <f>#REF!+F320</f>
        <v>#REF!</v>
      </c>
      <c r="H320" s="24" t="e">
        <f t="shared" si="111"/>
        <v>#REF!</v>
      </c>
      <c r="I320" s="223"/>
      <c r="J320" s="175"/>
      <c r="L320" s="3"/>
    </row>
    <row r="321" spans="1:12" s="176" customFormat="1" x14ac:dyDescent="0.25">
      <c r="A321" s="40"/>
      <c r="B321" s="43">
        <v>5</v>
      </c>
      <c r="C321" s="185" t="s">
        <v>192</v>
      </c>
      <c r="D321" s="191">
        <f>SUM(D322:D323)</f>
        <v>0</v>
      </c>
      <c r="E321" s="191">
        <f t="shared" ref="E321:G321" si="118">SUM(E322:E323)</f>
        <v>0</v>
      </c>
      <c r="F321" s="196">
        <f t="shared" si="118"/>
        <v>0</v>
      </c>
      <c r="G321" s="191">
        <f t="shared" si="118"/>
        <v>0</v>
      </c>
      <c r="H321" s="236" t="e">
        <f>G321/D321</f>
        <v>#DIV/0!</v>
      </c>
      <c r="I321" s="223"/>
      <c r="J321" s="175"/>
      <c r="L321" s="3"/>
    </row>
    <row r="322" spans="1:12" s="176" customFormat="1" x14ac:dyDescent="0.25">
      <c r="A322" s="40"/>
      <c r="B322" s="190" t="s">
        <v>539</v>
      </c>
      <c r="C322" s="193" t="s">
        <v>193</v>
      </c>
      <c r="D322" s="192"/>
      <c r="E322" s="192">
        <f>'Realisasi Agustus'!H330</f>
        <v>0</v>
      </c>
      <c r="F322" s="181"/>
      <c r="G322" s="192">
        <f>E322+F322</f>
        <v>0</v>
      </c>
      <c r="H322" s="24" t="e">
        <f>G322/D322</f>
        <v>#DIV/0!</v>
      </c>
      <c r="I322" s="225" t="s">
        <v>470</v>
      </c>
      <c r="J322" s="175"/>
      <c r="L322" s="3"/>
    </row>
    <row r="323" spans="1:12" s="176" customFormat="1" x14ac:dyDescent="0.25">
      <c r="A323" s="40"/>
      <c r="B323" s="190" t="s">
        <v>540</v>
      </c>
      <c r="C323" s="193" t="s">
        <v>194</v>
      </c>
      <c r="D323" s="192"/>
      <c r="E323" s="192">
        <f>'Realisasi Agustus'!H331</f>
        <v>0</v>
      </c>
      <c r="F323" s="181"/>
      <c r="G323" s="192">
        <f>E323+F323</f>
        <v>0</v>
      </c>
      <c r="H323" s="24" t="e">
        <f>G323/D323</f>
        <v>#DIV/0!</v>
      </c>
      <c r="I323" s="225" t="s">
        <v>470</v>
      </c>
      <c r="J323" s="175"/>
      <c r="L323" s="3"/>
    </row>
    <row r="324" spans="1:12" s="176" customFormat="1" x14ac:dyDescent="0.25">
      <c r="A324" s="40"/>
      <c r="B324" s="43">
        <v>6</v>
      </c>
      <c r="C324" s="170" t="s">
        <v>206</v>
      </c>
      <c r="D324" s="191">
        <f>D325</f>
        <v>7340205000</v>
      </c>
      <c r="E324" s="191">
        <f t="shared" ref="E324:G324" si="119">E325</f>
        <v>5138143500</v>
      </c>
      <c r="F324" s="196">
        <f t="shared" si="119"/>
        <v>0</v>
      </c>
      <c r="G324" s="191">
        <f t="shared" si="119"/>
        <v>5138143500</v>
      </c>
      <c r="H324" s="236">
        <f>G324/D324</f>
        <v>0.7</v>
      </c>
      <c r="I324" s="225"/>
      <c r="J324" s="175"/>
      <c r="L324" s="3"/>
    </row>
    <row r="325" spans="1:12" s="176" customFormat="1" x14ac:dyDescent="0.25">
      <c r="A325" s="40"/>
      <c r="B325" s="190"/>
      <c r="C325" s="48" t="s">
        <v>210</v>
      </c>
      <c r="D325" s="192">
        <v>7340205000</v>
      </c>
      <c r="E325" s="192">
        <f>'Realisasi Sept'!G325</f>
        <v>5138143500</v>
      </c>
      <c r="F325" s="181"/>
      <c r="G325" s="192">
        <f>E325+F325</f>
        <v>5138143500</v>
      </c>
      <c r="H325" s="24">
        <f>G325/D325</f>
        <v>0.7</v>
      </c>
      <c r="I325" s="225"/>
      <c r="J325" s="175"/>
      <c r="L325" s="3"/>
    </row>
    <row r="326" spans="1:12" s="176" customFormat="1" x14ac:dyDescent="0.25">
      <c r="A326" s="40"/>
      <c r="B326" s="178"/>
      <c r="C326" s="183"/>
      <c r="D326" s="192"/>
      <c r="E326" s="192"/>
      <c r="F326" s="181"/>
      <c r="G326" s="191"/>
      <c r="H326" s="236"/>
      <c r="I326" s="224"/>
      <c r="J326" s="175"/>
      <c r="L326" s="3"/>
    </row>
    <row r="327" spans="1:12" s="176" customFormat="1" ht="37.5" hidden="1" customHeight="1" x14ac:dyDescent="0.25">
      <c r="A327" s="293"/>
      <c r="B327" s="262" t="s">
        <v>414</v>
      </c>
      <c r="C327" s="45" t="s">
        <v>195</v>
      </c>
      <c r="D327" s="42">
        <f>SUM(D328+D337+D339+D341+D343+D345+D347)</f>
        <v>0</v>
      </c>
      <c r="E327" s="42">
        <f t="shared" ref="E327:G327" si="120">SUM(E328+E337+E339+E341+E343+E345+E347)</f>
        <v>0</v>
      </c>
      <c r="F327" s="406">
        <f t="shared" si="120"/>
        <v>0</v>
      </c>
      <c r="G327" s="42">
        <f t="shared" si="120"/>
        <v>0</v>
      </c>
      <c r="H327" s="237" t="e">
        <f>G327/D327</f>
        <v>#DIV/0!</v>
      </c>
      <c r="I327" s="225" t="s">
        <v>469</v>
      </c>
      <c r="J327" s="175"/>
      <c r="L327" s="3"/>
    </row>
    <row r="328" spans="1:12" s="176" customFormat="1" hidden="1" x14ac:dyDescent="0.25">
      <c r="A328" s="40"/>
      <c r="B328" s="43">
        <v>1</v>
      </c>
      <c r="C328" s="185" t="s">
        <v>177</v>
      </c>
      <c r="D328" s="191">
        <f>SUM(D330:D335)</f>
        <v>0</v>
      </c>
      <c r="E328" s="191">
        <f t="shared" ref="E328:G328" si="121">SUM(E330:E335)</f>
        <v>0</v>
      </c>
      <c r="F328" s="196">
        <f t="shared" si="121"/>
        <v>0</v>
      </c>
      <c r="G328" s="191">
        <f t="shared" si="121"/>
        <v>0</v>
      </c>
      <c r="H328" s="236" t="e">
        <f>G328/D328</f>
        <v>#DIV/0!</v>
      </c>
      <c r="I328" s="225"/>
      <c r="J328" s="175"/>
      <c r="L328" s="3"/>
    </row>
    <row r="329" spans="1:12" s="176" customFormat="1" hidden="1" x14ac:dyDescent="0.25">
      <c r="A329" s="40"/>
      <c r="B329" s="44"/>
      <c r="C329" s="193" t="s">
        <v>196</v>
      </c>
      <c r="D329" s="192">
        <v>0</v>
      </c>
      <c r="E329" s="192"/>
      <c r="F329" s="181">
        <v>0</v>
      </c>
      <c r="G329" s="191" t="e">
        <f>#REF!+F329</f>
        <v>#REF!</v>
      </c>
      <c r="H329" s="236" t="e">
        <f t="shared" ref="H329:H334" si="122">G329/D329</f>
        <v>#REF!</v>
      </c>
      <c r="I329" s="223"/>
      <c r="J329" s="175"/>
      <c r="L329" s="3"/>
    </row>
    <row r="330" spans="1:12" s="176" customFormat="1" hidden="1" x14ac:dyDescent="0.25">
      <c r="A330" s="40"/>
      <c r="B330" s="190" t="s">
        <v>388</v>
      </c>
      <c r="C330" s="193" t="s">
        <v>197</v>
      </c>
      <c r="D330" s="192">
        <v>0</v>
      </c>
      <c r="E330" s="192">
        <f>'Realisasi Agustus'!H338</f>
        <v>0</v>
      </c>
      <c r="F330" s="181"/>
      <c r="G330" s="192">
        <f>E330+F330</f>
        <v>0</v>
      </c>
      <c r="H330" s="24" t="e">
        <f t="shared" si="122"/>
        <v>#DIV/0!</v>
      </c>
      <c r="I330" s="225"/>
      <c r="J330" s="175"/>
      <c r="L330" s="3"/>
    </row>
    <row r="331" spans="1:12" s="176" customFormat="1" ht="18" hidden="1" customHeight="1" x14ac:dyDescent="0.25">
      <c r="A331" s="40"/>
      <c r="B331" s="44"/>
      <c r="C331" s="193" t="s">
        <v>198</v>
      </c>
      <c r="D331" s="192"/>
      <c r="E331" s="192">
        <f>'Realisasi Agustus'!H339</f>
        <v>0</v>
      </c>
      <c r="F331" s="181"/>
      <c r="G331" s="192">
        <f t="shared" ref="G331:G335" si="123">E331+F331</f>
        <v>0</v>
      </c>
      <c r="H331" s="24" t="e">
        <f t="shared" si="122"/>
        <v>#DIV/0!</v>
      </c>
      <c r="I331" s="223"/>
      <c r="J331" s="175"/>
      <c r="L331" s="3"/>
    </row>
    <row r="332" spans="1:12" s="176" customFormat="1" hidden="1" x14ac:dyDescent="0.25">
      <c r="A332" s="40"/>
      <c r="B332" s="190" t="s">
        <v>389</v>
      </c>
      <c r="C332" s="193" t="s">
        <v>199</v>
      </c>
      <c r="D332" s="192">
        <v>0</v>
      </c>
      <c r="E332" s="192">
        <f>'Realisasi Agustus'!H340</f>
        <v>0</v>
      </c>
      <c r="F332" s="181"/>
      <c r="G332" s="192">
        <f t="shared" si="123"/>
        <v>0</v>
      </c>
      <c r="H332" s="24" t="e">
        <f t="shared" si="122"/>
        <v>#DIV/0!</v>
      </c>
      <c r="I332" s="225"/>
      <c r="J332" s="175"/>
      <c r="L332" s="3"/>
    </row>
    <row r="333" spans="1:12" s="176" customFormat="1" hidden="1" x14ac:dyDescent="0.25">
      <c r="A333" s="40"/>
      <c r="B333" s="44"/>
      <c r="C333" s="193" t="s">
        <v>200</v>
      </c>
      <c r="D333" s="192">
        <v>0</v>
      </c>
      <c r="E333" s="192">
        <f>'Realisasi Agustus'!H341</f>
        <v>0</v>
      </c>
      <c r="F333" s="181"/>
      <c r="G333" s="192">
        <f t="shared" si="123"/>
        <v>0</v>
      </c>
      <c r="H333" s="24" t="e">
        <f t="shared" si="122"/>
        <v>#DIV/0!</v>
      </c>
      <c r="I333" s="223"/>
      <c r="J333" s="175"/>
      <c r="L333" s="3"/>
    </row>
    <row r="334" spans="1:12" s="176" customFormat="1" hidden="1" x14ac:dyDescent="0.25">
      <c r="A334" s="40"/>
      <c r="B334" s="44"/>
      <c r="C334" s="193" t="s">
        <v>201</v>
      </c>
      <c r="D334" s="192"/>
      <c r="E334" s="192">
        <f>'Realisasi Agustus'!H342</f>
        <v>0</v>
      </c>
      <c r="F334" s="181"/>
      <c r="G334" s="192">
        <f t="shared" si="123"/>
        <v>0</v>
      </c>
      <c r="H334" s="24" t="e">
        <f t="shared" si="122"/>
        <v>#DIV/0!</v>
      </c>
      <c r="I334" s="225"/>
      <c r="J334" s="175"/>
      <c r="L334" s="3"/>
    </row>
    <row r="335" spans="1:12" s="176" customFormat="1" hidden="1" x14ac:dyDescent="0.25">
      <c r="A335" s="40"/>
      <c r="B335" s="190" t="s">
        <v>541</v>
      </c>
      <c r="C335" s="193" t="s">
        <v>390</v>
      </c>
      <c r="D335" s="192"/>
      <c r="E335" s="192">
        <f>'Realisasi Agustus'!H343</f>
        <v>0</v>
      </c>
      <c r="F335" s="181"/>
      <c r="G335" s="192">
        <f t="shared" si="123"/>
        <v>0</v>
      </c>
      <c r="H335" s="24" t="e">
        <f>G335/D335</f>
        <v>#DIV/0!</v>
      </c>
      <c r="I335" s="225" t="s">
        <v>470</v>
      </c>
      <c r="J335" s="175"/>
      <c r="L335" s="3"/>
    </row>
    <row r="336" spans="1:12" s="176" customFormat="1" hidden="1" x14ac:dyDescent="0.25">
      <c r="A336" s="40"/>
      <c r="B336" s="44"/>
      <c r="C336" s="183"/>
      <c r="D336" s="192"/>
      <c r="E336" s="192"/>
      <c r="F336" s="181"/>
      <c r="G336" s="191"/>
      <c r="H336" s="24"/>
      <c r="I336" s="223"/>
      <c r="J336" s="175"/>
      <c r="L336" s="3"/>
    </row>
    <row r="337" spans="1:12" s="176" customFormat="1" hidden="1" x14ac:dyDescent="0.25">
      <c r="A337" s="40"/>
      <c r="B337" s="43">
        <v>2</v>
      </c>
      <c r="C337" s="185" t="s">
        <v>202</v>
      </c>
      <c r="D337" s="191">
        <f>SUM(D338:D338)</f>
        <v>0</v>
      </c>
      <c r="E337" s="191"/>
      <c r="F337" s="196">
        <f t="shared" ref="F337:G337" si="124">SUM(F338:F338)</f>
        <v>0</v>
      </c>
      <c r="G337" s="191">
        <f t="shared" si="124"/>
        <v>0</v>
      </c>
      <c r="H337" s="236" t="e">
        <f t="shared" ref="H337:H348" si="125">G337/D337</f>
        <v>#DIV/0!</v>
      </c>
      <c r="I337" s="224"/>
      <c r="J337" s="175"/>
      <c r="L337" s="3"/>
    </row>
    <row r="338" spans="1:12" s="176" customFormat="1" hidden="1" x14ac:dyDescent="0.25">
      <c r="A338" s="40"/>
      <c r="B338" s="190" t="s">
        <v>542</v>
      </c>
      <c r="C338" s="193" t="s">
        <v>391</v>
      </c>
      <c r="D338" s="192"/>
      <c r="E338" s="192"/>
      <c r="F338" s="181"/>
      <c r="G338" s="192">
        <f>E338+F338</f>
        <v>0</v>
      </c>
      <c r="H338" s="24" t="e">
        <f t="shared" si="125"/>
        <v>#DIV/0!</v>
      </c>
      <c r="I338" s="225" t="s">
        <v>470</v>
      </c>
      <c r="J338" s="175"/>
      <c r="L338" s="3"/>
    </row>
    <row r="339" spans="1:12" s="176" customFormat="1" hidden="1" x14ac:dyDescent="0.25">
      <c r="A339" s="40"/>
      <c r="B339" s="43">
        <v>3</v>
      </c>
      <c r="C339" s="185" t="s">
        <v>203</v>
      </c>
      <c r="D339" s="191">
        <f>SUM(D340:D340)</f>
        <v>0</v>
      </c>
      <c r="E339" s="191"/>
      <c r="F339" s="196">
        <f t="shared" ref="F339:G339" si="126">SUM(F340:F340)</f>
        <v>0</v>
      </c>
      <c r="G339" s="191">
        <f t="shared" si="126"/>
        <v>0</v>
      </c>
      <c r="H339" s="236" t="e">
        <f t="shared" si="125"/>
        <v>#DIV/0!</v>
      </c>
      <c r="I339" s="224"/>
      <c r="J339" s="175"/>
      <c r="L339" s="3"/>
    </row>
    <row r="340" spans="1:12" s="176" customFormat="1" hidden="1" x14ac:dyDescent="0.25">
      <c r="A340" s="40"/>
      <c r="B340" s="190" t="s">
        <v>543</v>
      </c>
      <c r="C340" s="193" t="s">
        <v>392</v>
      </c>
      <c r="D340" s="192"/>
      <c r="E340" s="192"/>
      <c r="F340" s="181"/>
      <c r="G340" s="192">
        <f>E340+F340</f>
        <v>0</v>
      </c>
      <c r="H340" s="24" t="e">
        <f t="shared" si="125"/>
        <v>#DIV/0!</v>
      </c>
      <c r="I340" s="225" t="s">
        <v>469</v>
      </c>
      <c r="J340" s="175"/>
      <c r="L340" s="3"/>
    </row>
    <row r="341" spans="1:12" s="176" customFormat="1" hidden="1" x14ac:dyDescent="0.25">
      <c r="A341" s="40"/>
      <c r="B341" s="43">
        <v>4</v>
      </c>
      <c r="C341" s="185" t="s">
        <v>192</v>
      </c>
      <c r="D341" s="191">
        <f>SUM(D342)</f>
        <v>0</v>
      </c>
      <c r="E341" s="191"/>
      <c r="F341" s="196">
        <f t="shared" ref="F341:G341" si="127">SUM(F342)</f>
        <v>0</v>
      </c>
      <c r="G341" s="191">
        <f t="shared" si="127"/>
        <v>0</v>
      </c>
      <c r="H341" s="236" t="e">
        <f t="shared" si="125"/>
        <v>#DIV/0!</v>
      </c>
      <c r="I341" s="224"/>
      <c r="J341" s="175"/>
      <c r="L341" s="3"/>
    </row>
    <row r="342" spans="1:12" s="176" customFormat="1" hidden="1" x14ac:dyDescent="0.25">
      <c r="A342" s="40"/>
      <c r="B342" s="190" t="s">
        <v>544</v>
      </c>
      <c r="C342" s="47" t="s">
        <v>393</v>
      </c>
      <c r="D342" s="192"/>
      <c r="E342" s="192"/>
      <c r="F342" s="181"/>
      <c r="G342" s="192">
        <f>E342+F342</f>
        <v>0</v>
      </c>
      <c r="H342" s="24" t="e">
        <f t="shared" si="125"/>
        <v>#DIV/0!</v>
      </c>
      <c r="I342" s="225" t="s">
        <v>469</v>
      </c>
      <c r="J342" s="175"/>
      <c r="L342" s="3"/>
    </row>
    <row r="343" spans="1:12" s="176" customFormat="1" hidden="1" x14ac:dyDescent="0.25">
      <c r="A343" s="40"/>
      <c r="B343" s="43">
        <v>5</v>
      </c>
      <c r="C343" s="185" t="s">
        <v>204</v>
      </c>
      <c r="D343" s="191">
        <f>SUM(D344:D344)</f>
        <v>0</v>
      </c>
      <c r="E343" s="191"/>
      <c r="F343" s="196">
        <f t="shared" ref="F343:G343" si="128">SUM(F344:F344)</f>
        <v>0</v>
      </c>
      <c r="G343" s="191">
        <f t="shared" si="128"/>
        <v>0</v>
      </c>
      <c r="H343" s="236" t="e">
        <f t="shared" si="125"/>
        <v>#DIV/0!</v>
      </c>
      <c r="I343" s="223"/>
      <c r="J343" s="175"/>
      <c r="L343" s="3"/>
    </row>
    <row r="344" spans="1:12" s="176" customFormat="1" hidden="1" x14ac:dyDescent="0.25">
      <c r="A344" s="40"/>
      <c r="B344" s="190" t="s">
        <v>545</v>
      </c>
      <c r="C344" s="47" t="s">
        <v>394</v>
      </c>
      <c r="D344" s="192"/>
      <c r="E344" s="192"/>
      <c r="F344" s="181"/>
      <c r="G344" s="192">
        <f>E344+F344</f>
        <v>0</v>
      </c>
      <c r="H344" s="24" t="e">
        <f t="shared" si="125"/>
        <v>#DIV/0!</v>
      </c>
      <c r="I344" s="225"/>
      <c r="J344" s="175"/>
      <c r="L344" s="3"/>
    </row>
    <row r="345" spans="1:12" s="176" customFormat="1" hidden="1" x14ac:dyDescent="0.25">
      <c r="A345" s="40"/>
      <c r="B345" s="43">
        <v>6</v>
      </c>
      <c r="C345" s="185" t="s">
        <v>205</v>
      </c>
      <c r="D345" s="191">
        <f>SUM(D346:D346)</f>
        <v>0</v>
      </c>
      <c r="E345" s="191">
        <f t="shared" ref="E345:G345" si="129">SUM(E346:E346)</f>
        <v>0</v>
      </c>
      <c r="F345" s="196">
        <f t="shared" si="129"/>
        <v>0</v>
      </c>
      <c r="G345" s="191">
        <f t="shared" si="129"/>
        <v>0</v>
      </c>
      <c r="H345" s="253" t="e">
        <f t="shared" si="125"/>
        <v>#DIV/0!</v>
      </c>
      <c r="I345" s="223"/>
      <c r="J345" s="175"/>
      <c r="L345" s="3"/>
    </row>
    <row r="346" spans="1:12" s="176" customFormat="1" hidden="1" x14ac:dyDescent="0.25">
      <c r="A346" s="40"/>
      <c r="B346" s="190" t="s">
        <v>376</v>
      </c>
      <c r="C346" s="48" t="s">
        <v>395</v>
      </c>
      <c r="D346" s="192">
        <v>0</v>
      </c>
      <c r="E346" s="192"/>
      <c r="F346" s="181"/>
      <c r="G346" s="192">
        <f>E346+F346</f>
        <v>0</v>
      </c>
      <c r="H346" s="252" t="e">
        <f t="shared" si="125"/>
        <v>#DIV/0!</v>
      </c>
      <c r="I346" s="225"/>
      <c r="J346" s="175"/>
      <c r="L346" s="3"/>
    </row>
    <row r="347" spans="1:12" s="176" customFormat="1" hidden="1" x14ac:dyDescent="0.25">
      <c r="A347" s="40"/>
      <c r="B347" s="46">
        <v>7</v>
      </c>
      <c r="C347" s="170" t="s">
        <v>206</v>
      </c>
      <c r="D347" s="191">
        <f>D348</f>
        <v>0</v>
      </c>
      <c r="E347" s="191"/>
      <c r="F347" s="196">
        <f t="shared" ref="F347:G347" si="130">F348</f>
        <v>0</v>
      </c>
      <c r="G347" s="191">
        <f t="shared" si="130"/>
        <v>0</v>
      </c>
      <c r="H347" s="236" t="e">
        <f t="shared" si="125"/>
        <v>#DIV/0!</v>
      </c>
      <c r="I347" s="225"/>
      <c r="J347" s="175"/>
      <c r="L347" s="3"/>
    </row>
    <row r="348" spans="1:12" s="176" customFormat="1" hidden="1" x14ac:dyDescent="0.25">
      <c r="A348" s="40"/>
      <c r="B348" s="190" t="s">
        <v>546</v>
      </c>
      <c r="C348" s="48" t="s">
        <v>207</v>
      </c>
      <c r="D348" s="192"/>
      <c r="E348" s="192"/>
      <c r="F348" s="181"/>
      <c r="G348" s="192">
        <f>E348+F348</f>
        <v>0</v>
      </c>
      <c r="H348" s="24" t="e">
        <f t="shared" si="125"/>
        <v>#DIV/0!</v>
      </c>
      <c r="I348" s="225" t="s">
        <v>469</v>
      </c>
      <c r="J348" s="175"/>
      <c r="L348" s="3"/>
    </row>
    <row r="349" spans="1:12" s="176" customFormat="1" hidden="1" x14ac:dyDescent="0.25">
      <c r="A349" s="40"/>
      <c r="B349" s="46"/>
      <c r="C349" s="49"/>
      <c r="D349" s="50"/>
      <c r="E349" s="50"/>
      <c r="F349" s="407"/>
      <c r="G349" s="191"/>
      <c r="H349" s="236"/>
      <c r="I349" s="223"/>
      <c r="J349" s="175"/>
      <c r="L349" s="3"/>
    </row>
    <row r="350" spans="1:12" s="176" customFormat="1" ht="36.75" hidden="1" customHeight="1" x14ac:dyDescent="0.25">
      <c r="A350" s="293"/>
      <c r="B350" s="262" t="s">
        <v>415</v>
      </c>
      <c r="C350" s="41" t="s">
        <v>208</v>
      </c>
      <c r="D350" s="42">
        <f>SUM(D351+D353+D355+D358+D360+D362)</f>
        <v>0</v>
      </c>
      <c r="E350" s="42"/>
      <c r="F350" s="406">
        <f>SUM(F351+F353+F355+F358+F360+F362)</f>
        <v>0</v>
      </c>
      <c r="G350" s="42">
        <f t="shared" ref="G350:G363" si="131">F350-D350</f>
        <v>0</v>
      </c>
      <c r="H350" s="237"/>
      <c r="I350" s="226"/>
      <c r="J350" s="175"/>
      <c r="L350" s="3"/>
    </row>
    <row r="351" spans="1:12" s="176" customFormat="1" hidden="1" x14ac:dyDescent="0.25">
      <c r="A351" s="40"/>
      <c r="B351" s="51">
        <v>1</v>
      </c>
      <c r="C351" s="35" t="s">
        <v>209</v>
      </c>
      <c r="D351" s="191">
        <f>SUM(D352:D352)</f>
        <v>0</v>
      </c>
      <c r="E351" s="191"/>
      <c r="F351" s="196">
        <f>SUM(F352:F352)</f>
        <v>0</v>
      </c>
      <c r="G351" s="191">
        <f t="shared" si="131"/>
        <v>0</v>
      </c>
      <c r="H351" s="236"/>
      <c r="I351" s="224"/>
      <c r="J351" s="175"/>
      <c r="L351" s="3"/>
    </row>
    <row r="352" spans="1:12" s="176" customFormat="1" hidden="1" x14ac:dyDescent="0.25">
      <c r="A352" s="40"/>
      <c r="B352" s="190" t="s">
        <v>380</v>
      </c>
      <c r="C352" s="193" t="s">
        <v>210</v>
      </c>
      <c r="D352" s="192">
        <v>0</v>
      </c>
      <c r="E352" s="192"/>
      <c r="F352" s="181">
        <v>0</v>
      </c>
      <c r="G352" s="192">
        <f t="shared" si="131"/>
        <v>0</v>
      </c>
      <c r="H352" s="24"/>
      <c r="I352" s="225"/>
      <c r="J352" s="175"/>
      <c r="L352" s="3"/>
    </row>
    <row r="353" spans="1:12" s="176" customFormat="1" hidden="1" x14ac:dyDescent="0.25">
      <c r="A353" s="40"/>
      <c r="B353" s="51">
        <v>2</v>
      </c>
      <c r="C353" s="35" t="s">
        <v>211</v>
      </c>
      <c r="D353" s="191">
        <f>SUM(D354)</f>
        <v>0</v>
      </c>
      <c r="E353" s="191"/>
      <c r="F353" s="196">
        <f>SUM(F354)</f>
        <v>0</v>
      </c>
      <c r="G353" s="191">
        <f t="shared" si="131"/>
        <v>0</v>
      </c>
      <c r="H353" s="236"/>
      <c r="I353" s="224"/>
      <c r="J353" s="175"/>
      <c r="L353" s="3"/>
    </row>
    <row r="354" spans="1:12" s="176" customFormat="1" hidden="1" x14ac:dyDescent="0.25">
      <c r="A354" s="40"/>
      <c r="B354" s="190" t="s">
        <v>383</v>
      </c>
      <c r="C354" s="193" t="s">
        <v>194</v>
      </c>
      <c r="D354" s="192">
        <v>0</v>
      </c>
      <c r="E354" s="192"/>
      <c r="F354" s="181">
        <v>0</v>
      </c>
      <c r="G354" s="192">
        <f t="shared" si="131"/>
        <v>0</v>
      </c>
      <c r="H354" s="24"/>
      <c r="I354" s="225"/>
      <c r="J354" s="175"/>
      <c r="L354" s="3"/>
    </row>
    <row r="355" spans="1:12" s="176" customFormat="1" hidden="1" x14ac:dyDescent="0.25">
      <c r="A355" s="40"/>
      <c r="B355" s="51">
        <v>3</v>
      </c>
      <c r="C355" s="185" t="s">
        <v>172</v>
      </c>
      <c r="D355" s="191">
        <f>SUM(D356:D357)</f>
        <v>0</v>
      </c>
      <c r="E355" s="191"/>
      <c r="F355" s="196">
        <f>SUM(F356:F357)</f>
        <v>0</v>
      </c>
      <c r="G355" s="191">
        <f t="shared" si="131"/>
        <v>0</v>
      </c>
      <c r="H355" s="236"/>
      <c r="I355" s="224"/>
      <c r="J355" s="175"/>
      <c r="L355" s="3"/>
    </row>
    <row r="356" spans="1:12" s="176" customFormat="1" hidden="1" x14ac:dyDescent="0.25">
      <c r="A356" s="40"/>
      <c r="B356" s="190" t="s">
        <v>377</v>
      </c>
      <c r="C356" s="193" t="s">
        <v>174</v>
      </c>
      <c r="D356" s="192"/>
      <c r="E356" s="192"/>
      <c r="F356" s="181"/>
      <c r="G356" s="192">
        <f t="shared" si="131"/>
        <v>0</v>
      </c>
      <c r="H356" s="24"/>
      <c r="I356" s="225"/>
      <c r="J356" s="175"/>
      <c r="L356" s="3"/>
    </row>
    <row r="357" spans="1:12" s="176" customFormat="1" hidden="1" x14ac:dyDescent="0.25">
      <c r="A357" s="40"/>
      <c r="B357" s="190" t="s">
        <v>378</v>
      </c>
      <c r="C357" s="193" t="s">
        <v>175</v>
      </c>
      <c r="D357" s="192"/>
      <c r="E357" s="192"/>
      <c r="F357" s="181"/>
      <c r="G357" s="192">
        <f t="shared" si="131"/>
        <v>0</v>
      </c>
      <c r="H357" s="24"/>
      <c r="I357" s="225"/>
      <c r="J357" s="175"/>
      <c r="L357" s="3"/>
    </row>
    <row r="358" spans="1:12" s="176" customFormat="1" hidden="1" x14ac:dyDescent="0.25">
      <c r="A358" s="40"/>
      <c r="B358" s="51">
        <v>4</v>
      </c>
      <c r="C358" s="35" t="s">
        <v>212</v>
      </c>
      <c r="D358" s="191">
        <f>D359</f>
        <v>0</v>
      </c>
      <c r="E358" s="191"/>
      <c r="F358" s="196">
        <f>F359</f>
        <v>0</v>
      </c>
      <c r="G358" s="191">
        <f t="shared" si="131"/>
        <v>0</v>
      </c>
      <c r="H358" s="236"/>
      <c r="I358" s="225"/>
      <c r="J358" s="175"/>
      <c r="L358" s="3"/>
    </row>
    <row r="359" spans="1:12" s="176" customFormat="1" hidden="1" x14ac:dyDescent="0.25">
      <c r="A359" s="40"/>
      <c r="B359" s="190" t="s">
        <v>381</v>
      </c>
      <c r="C359" s="193" t="s">
        <v>189</v>
      </c>
      <c r="D359" s="191">
        <v>0</v>
      </c>
      <c r="E359" s="191"/>
      <c r="F359" s="196">
        <v>0</v>
      </c>
      <c r="G359" s="192">
        <f t="shared" si="131"/>
        <v>0</v>
      </c>
      <c r="H359" s="236"/>
      <c r="I359" s="225"/>
      <c r="J359" s="175"/>
      <c r="L359" s="3"/>
    </row>
    <row r="360" spans="1:12" s="176" customFormat="1" hidden="1" x14ac:dyDescent="0.25">
      <c r="A360" s="40"/>
      <c r="B360" s="51">
        <v>5</v>
      </c>
      <c r="C360" s="35" t="s">
        <v>213</v>
      </c>
      <c r="D360" s="191">
        <f>SUM(D361:D361)</f>
        <v>0</v>
      </c>
      <c r="E360" s="191"/>
      <c r="F360" s="196">
        <f>SUM(F361:F361)</f>
        <v>0</v>
      </c>
      <c r="G360" s="191">
        <f t="shared" si="131"/>
        <v>0</v>
      </c>
      <c r="H360" s="236"/>
      <c r="I360" s="224"/>
      <c r="J360" s="175"/>
      <c r="L360" s="3"/>
    </row>
    <row r="361" spans="1:12" s="176" customFormat="1" hidden="1" x14ac:dyDescent="0.25">
      <c r="A361" s="40"/>
      <c r="B361" s="190" t="s">
        <v>382</v>
      </c>
      <c r="C361" s="193" t="s">
        <v>187</v>
      </c>
      <c r="D361" s="192">
        <v>0</v>
      </c>
      <c r="E361" s="192"/>
      <c r="F361" s="181">
        <v>0</v>
      </c>
      <c r="G361" s="192">
        <f t="shared" si="131"/>
        <v>0</v>
      </c>
      <c r="H361" s="24"/>
      <c r="I361" s="225"/>
      <c r="J361" s="175"/>
      <c r="L361" s="3"/>
    </row>
    <row r="362" spans="1:12" s="176" customFormat="1" hidden="1" x14ac:dyDescent="0.25">
      <c r="A362" s="40"/>
      <c r="B362" s="51">
        <v>6</v>
      </c>
      <c r="C362" s="35" t="s">
        <v>214</v>
      </c>
      <c r="D362" s="191">
        <f>SUM(D363:D363)</f>
        <v>0</v>
      </c>
      <c r="E362" s="191"/>
      <c r="F362" s="196">
        <f>SUM(F363:F363)</f>
        <v>0</v>
      </c>
      <c r="G362" s="191">
        <f t="shared" si="131"/>
        <v>0</v>
      </c>
      <c r="H362" s="236"/>
      <c r="I362" s="224"/>
      <c r="J362" s="175"/>
      <c r="L362" s="3"/>
    </row>
    <row r="363" spans="1:12" s="176" customFormat="1" hidden="1" x14ac:dyDescent="0.25">
      <c r="A363" s="40"/>
      <c r="B363" s="190" t="s">
        <v>379</v>
      </c>
      <c r="C363" s="193" t="s">
        <v>215</v>
      </c>
      <c r="D363" s="192"/>
      <c r="E363" s="192"/>
      <c r="F363" s="181"/>
      <c r="G363" s="192">
        <f t="shared" si="131"/>
        <v>0</v>
      </c>
      <c r="H363" s="24"/>
      <c r="I363" s="225"/>
      <c r="J363" s="175"/>
      <c r="L363" s="3"/>
    </row>
    <row r="364" spans="1:12" s="176" customFormat="1" x14ac:dyDescent="0.25">
      <c r="A364" s="40"/>
      <c r="B364" s="178"/>
      <c r="C364" s="183"/>
      <c r="D364" s="192"/>
      <c r="E364" s="192"/>
      <c r="F364" s="181"/>
      <c r="G364" s="191"/>
      <c r="H364" s="236"/>
      <c r="I364" s="224"/>
      <c r="J364" s="175"/>
      <c r="L364" s="3"/>
    </row>
    <row r="365" spans="1:12" s="176" customFormat="1" ht="25.5" customHeight="1" x14ac:dyDescent="0.25">
      <c r="A365" s="138" t="s">
        <v>235</v>
      </c>
      <c r="B365" s="139" t="s">
        <v>384</v>
      </c>
      <c r="C365" s="140" t="s">
        <v>385</v>
      </c>
      <c r="D365" s="141">
        <f>SUM(D367+D369+M372+D372+D375+D378+D381+D384+D392+D395+D398+D401+D404+D407)</f>
        <v>119754141780</v>
      </c>
      <c r="E365" s="141">
        <f t="shared" ref="E365:G365" si="132">SUM(E367+E369+N372+E372+E375+E378+E381+E384+E392+E395+E398+E401+E404+E407)</f>
        <v>33587786067</v>
      </c>
      <c r="F365" s="142">
        <f>SUM(F367+F369+O372+F372+F375+F378+F381+F384+F392+F395+F398+F401+F404+F407)</f>
        <v>13431027000</v>
      </c>
      <c r="G365" s="141">
        <f t="shared" si="132"/>
        <v>47018813067</v>
      </c>
      <c r="H365" s="240">
        <f>G365/D365</f>
        <v>0.39262786545936867</v>
      </c>
      <c r="I365" s="225" t="s">
        <v>216</v>
      </c>
      <c r="J365" s="175"/>
      <c r="L365" s="3"/>
    </row>
    <row r="366" spans="1:12" s="176" customFormat="1" ht="21" customHeight="1" x14ac:dyDescent="0.25">
      <c r="A366" s="40"/>
      <c r="B366" s="167" t="s">
        <v>19</v>
      </c>
      <c r="C366" s="185" t="s">
        <v>635</v>
      </c>
      <c r="D366" s="191">
        <f>D367</f>
        <v>50738030000</v>
      </c>
      <c r="E366" s="191">
        <f t="shared" ref="E366:G366" si="133">E367</f>
        <v>0</v>
      </c>
      <c r="F366" s="196">
        <f t="shared" si="133"/>
        <v>0</v>
      </c>
      <c r="G366" s="191">
        <f t="shared" si="133"/>
        <v>0</v>
      </c>
      <c r="H366" s="236">
        <f>G366/D366</f>
        <v>0</v>
      </c>
      <c r="I366" s="225" t="s">
        <v>218</v>
      </c>
      <c r="J366" s="175"/>
      <c r="L366" s="3"/>
    </row>
    <row r="367" spans="1:12" s="176" customFormat="1" ht="21" customHeight="1" x14ac:dyDescent="0.25">
      <c r="A367" s="40"/>
      <c r="B367" s="190" t="s">
        <v>634</v>
      </c>
      <c r="C367" s="183" t="s">
        <v>636</v>
      </c>
      <c r="D367" s="192">
        <v>50738030000</v>
      </c>
      <c r="E367" s="192">
        <f>'Realisasi Sept'!G367</f>
        <v>0</v>
      </c>
      <c r="F367" s="181">
        <v>0</v>
      </c>
      <c r="G367" s="192">
        <f>E367+F367</f>
        <v>0</v>
      </c>
      <c r="H367" s="24">
        <f>G367/D367</f>
        <v>0</v>
      </c>
      <c r="I367" s="225"/>
      <c r="J367" s="175"/>
      <c r="L367" s="3"/>
    </row>
    <row r="368" spans="1:12" s="176" customFormat="1" ht="25.5" customHeight="1" x14ac:dyDescent="0.25">
      <c r="A368" s="169"/>
      <c r="B368" s="189"/>
      <c r="C368" s="185"/>
      <c r="D368" s="191"/>
      <c r="E368" s="192"/>
      <c r="F368" s="196"/>
      <c r="G368" s="191"/>
      <c r="H368" s="236"/>
      <c r="I368" s="225"/>
      <c r="J368" s="175"/>
      <c r="L368" s="3"/>
    </row>
    <row r="369" spans="1:12" s="176" customFormat="1" ht="21" customHeight="1" x14ac:dyDescent="0.25">
      <c r="A369" s="40"/>
      <c r="B369" s="167" t="s">
        <v>39</v>
      </c>
      <c r="C369" s="185" t="s">
        <v>638</v>
      </c>
      <c r="D369" s="191">
        <f>D370</f>
        <v>1125000000</v>
      </c>
      <c r="E369" s="191">
        <f t="shared" ref="E369:G369" si="134">E370</f>
        <v>0</v>
      </c>
      <c r="F369" s="196">
        <f t="shared" si="134"/>
        <v>0</v>
      </c>
      <c r="G369" s="191">
        <f t="shared" si="134"/>
        <v>0</v>
      </c>
      <c r="H369" s="236">
        <f>G369/D369</f>
        <v>0</v>
      </c>
      <c r="I369" s="225" t="s">
        <v>218</v>
      </c>
      <c r="J369" s="175"/>
      <c r="L369" s="3"/>
    </row>
    <row r="370" spans="1:12" s="176" customFormat="1" ht="21" customHeight="1" x14ac:dyDescent="0.25">
      <c r="A370" s="40"/>
      <c r="B370" s="190" t="s">
        <v>637</v>
      </c>
      <c r="C370" s="183" t="s">
        <v>639</v>
      </c>
      <c r="D370" s="192">
        <v>1125000000</v>
      </c>
      <c r="E370" s="192">
        <f>'Realisasi Sept'!G370</f>
        <v>0</v>
      </c>
      <c r="F370" s="181"/>
      <c r="G370" s="192">
        <f>E370+F370</f>
        <v>0</v>
      </c>
      <c r="H370" s="24">
        <f>G370/D370</f>
        <v>0</v>
      </c>
      <c r="I370" s="225"/>
      <c r="J370" s="175"/>
      <c r="L370" s="3"/>
    </row>
    <row r="371" spans="1:12" s="176" customFormat="1" ht="21" customHeight="1" x14ac:dyDescent="0.25">
      <c r="A371" s="40"/>
      <c r="B371" s="190"/>
      <c r="C371" s="183"/>
      <c r="D371" s="192"/>
      <c r="E371" s="192"/>
      <c r="F371" s="181"/>
      <c r="G371" s="192"/>
      <c r="H371" s="24"/>
      <c r="I371" s="225"/>
      <c r="J371" s="175"/>
      <c r="L371" s="3"/>
    </row>
    <row r="372" spans="1:12" s="176" customFormat="1" ht="21" customHeight="1" x14ac:dyDescent="0.25">
      <c r="A372" s="40"/>
      <c r="B372" s="167" t="s">
        <v>19</v>
      </c>
      <c r="C372" s="185" t="s">
        <v>217</v>
      </c>
      <c r="D372" s="191">
        <f>D373</f>
        <v>2661700000</v>
      </c>
      <c r="E372" s="191">
        <f t="shared" ref="E372:G372" si="135">E373</f>
        <v>0</v>
      </c>
      <c r="F372" s="196">
        <f t="shared" si="135"/>
        <v>0</v>
      </c>
      <c r="G372" s="191">
        <f t="shared" si="135"/>
        <v>0</v>
      </c>
      <c r="H372" s="236">
        <f>G372/D372</f>
        <v>0</v>
      </c>
      <c r="I372" s="225" t="s">
        <v>218</v>
      </c>
      <c r="J372" s="175"/>
      <c r="L372" s="3"/>
    </row>
    <row r="373" spans="1:12" s="176" customFormat="1" ht="21" customHeight="1" x14ac:dyDescent="0.25">
      <c r="A373" s="40"/>
      <c r="B373" s="190" t="s">
        <v>547</v>
      </c>
      <c r="C373" s="183" t="s">
        <v>217</v>
      </c>
      <c r="D373" s="192">
        <v>2661700000</v>
      </c>
      <c r="E373" s="192">
        <f>'Realisasi Sept'!G373</f>
        <v>0</v>
      </c>
      <c r="F373" s="181">
        <v>0</v>
      </c>
      <c r="G373" s="192">
        <f>E373+F373</f>
        <v>0</v>
      </c>
      <c r="H373" s="24">
        <f>G373/D373</f>
        <v>0</v>
      </c>
      <c r="I373" s="225"/>
      <c r="J373" s="175"/>
      <c r="L373" s="3"/>
    </row>
    <row r="374" spans="1:12" s="176" customFormat="1" ht="21" customHeight="1" x14ac:dyDescent="0.25">
      <c r="A374" s="40"/>
      <c r="B374" s="190"/>
      <c r="C374" s="183"/>
      <c r="D374" s="192"/>
      <c r="E374" s="192"/>
      <c r="F374" s="181"/>
      <c r="G374" s="192"/>
      <c r="H374" s="236"/>
      <c r="I374" s="225"/>
      <c r="J374" s="175"/>
      <c r="L374" s="3"/>
    </row>
    <row r="375" spans="1:12" s="176" customFormat="1" ht="21" customHeight="1" x14ac:dyDescent="0.25">
      <c r="A375" s="40"/>
      <c r="B375" s="167" t="s">
        <v>39</v>
      </c>
      <c r="C375" s="185" t="s">
        <v>219</v>
      </c>
      <c r="D375" s="191">
        <f>D376</f>
        <v>747200000</v>
      </c>
      <c r="E375" s="191">
        <f t="shared" ref="E375:G375" si="136">E376</f>
        <v>0</v>
      </c>
      <c r="F375" s="196">
        <f t="shared" si="136"/>
        <v>0</v>
      </c>
      <c r="G375" s="191">
        <f t="shared" si="136"/>
        <v>0</v>
      </c>
      <c r="H375" s="236">
        <f>G375/D375</f>
        <v>0</v>
      </c>
      <c r="I375" s="225" t="s">
        <v>218</v>
      </c>
      <c r="J375" s="175"/>
      <c r="L375" s="3"/>
    </row>
    <row r="376" spans="1:12" s="176" customFormat="1" ht="21" customHeight="1" x14ac:dyDescent="0.25">
      <c r="A376" s="40"/>
      <c r="B376" s="190" t="s">
        <v>548</v>
      </c>
      <c r="C376" s="183" t="s">
        <v>219</v>
      </c>
      <c r="D376" s="192">
        <v>747200000</v>
      </c>
      <c r="E376" s="192">
        <f>'Realisasi Sept'!G376</f>
        <v>0</v>
      </c>
      <c r="F376" s="181"/>
      <c r="G376" s="192">
        <f>E376+F376</f>
        <v>0</v>
      </c>
      <c r="H376" s="24">
        <f>G376/D376</f>
        <v>0</v>
      </c>
      <c r="I376" s="225"/>
      <c r="J376" s="175"/>
      <c r="L376" s="3"/>
    </row>
    <row r="377" spans="1:12" s="176" customFormat="1" ht="21" customHeight="1" x14ac:dyDescent="0.25">
      <c r="A377" s="40"/>
      <c r="B377" s="190"/>
      <c r="C377" s="183"/>
      <c r="D377" s="191"/>
      <c r="E377" s="192"/>
      <c r="F377" s="196"/>
      <c r="G377" s="192"/>
      <c r="H377" s="236"/>
      <c r="I377" s="225"/>
      <c r="J377" s="175"/>
      <c r="L377" s="3"/>
    </row>
    <row r="378" spans="1:12" s="176" customFormat="1" x14ac:dyDescent="0.25">
      <c r="A378" s="40"/>
      <c r="B378" s="167" t="s">
        <v>46</v>
      </c>
      <c r="C378" s="35" t="s">
        <v>220</v>
      </c>
      <c r="D378" s="191">
        <f>SUM(D379)</f>
        <v>53724109000</v>
      </c>
      <c r="E378" s="191">
        <f t="shared" ref="E378:G378" si="137">SUM(E379)</f>
        <v>29548260000</v>
      </c>
      <c r="F378" s="196">
        <f t="shared" si="137"/>
        <v>13431027000</v>
      </c>
      <c r="G378" s="191">
        <f t="shared" si="137"/>
        <v>42979287000</v>
      </c>
      <c r="H378" s="236">
        <f>G378/D378</f>
        <v>0.79999999627727658</v>
      </c>
      <c r="I378" s="223"/>
      <c r="J378" s="175"/>
      <c r="L378" s="3"/>
    </row>
    <row r="379" spans="1:12" s="176" customFormat="1" x14ac:dyDescent="0.25">
      <c r="A379" s="40"/>
      <c r="B379" s="190" t="s">
        <v>549</v>
      </c>
      <c r="C379" s="193" t="s">
        <v>220</v>
      </c>
      <c r="D379" s="181">
        <v>53724109000</v>
      </c>
      <c r="E379" s="192">
        <f>'Realisasi Sept'!G379</f>
        <v>29548260000</v>
      </c>
      <c r="F379" s="181">
        <v>13431027000</v>
      </c>
      <c r="G379" s="192">
        <f>E379+F379</f>
        <v>42979287000</v>
      </c>
      <c r="H379" s="24">
        <f>G379/D379</f>
        <v>0.79999999627727658</v>
      </c>
      <c r="I379" s="225" t="s">
        <v>218</v>
      </c>
      <c r="J379" s="175"/>
      <c r="L379" s="3"/>
    </row>
    <row r="380" spans="1:12" s="176" customFormat="1" x14ac:dyDescent="0.25">
      <c r="A380" s="40"/>
      <c r="B380" s="190"/>
      <c r="C380" s="193"/>
      <c r="D380" s="181"/>
      <c r="E380" s="192"/>
      <c r="F380" s="181"/>
      <c r="G380" s="192"/>
      <c r="H380" s="24"/>
      <c r="I380" s="225"/>
      <c r="J380" s="175"/>
      <c r="L380" s="3"/>
    </row>
    <row r="381" spans="1:12" s="176" customFormat="1" x14ac:dyDescent="0.25">
      <c r="A381" s="40"/>
      <c r="B381" s="167" t="s">
        <v>8</v>
      </c>
      <c r="C381" s="35" t="s">
        <v>221</v>
      </c>
      <c r="D381" s="196">
        <f>SUM(D382)</f>
        <v>2271000000</v>
      </c>
      <c r="E381" s="191">
        <f t="shared" ref="E381:G381" si="138">SUM(E382)</f>
        <v>1249050000</v>
      </c>
      <c r="F381" s="196">
        <f t="shared" si="138"/>
        <v>0</v>
      </c>
      <c r="G381" s="191">
        <f t="shared" si="138"/>
        <v>1249050000</v>
      </c>
      <c r="H381" s="236">
        <f>G381/D381</f>
        <v>0.55000000000000004</v>
      </c>
      <c r="I381" s="223"/>
      <c r="J381" s="175"/>
      <c r="L381" s="3"/>
    </row>
    <row r="382" spans="1:12" s="176" customFormat="1" x14ac:dyDescent="0.25">
      <c r="A382" s="40"/>
      <c r="B382" s="190" t="s">
        <v>550</v>
      </c>
      <c r="C382" s="193" t="s">
        <v>221</v>
      </c>
      <c r="D382" s="181">
        <v>2271000000</v>
      </c>
      <c r="E382" s="192">
        <f>'Realisasi Sept'!G382</f>
        <v>1249050000</v>
      </c>
      <c r="F382" s="181"/>
      <c r="G382" s="192">
        <f>E382+F382</f>
        <v>1249050000</v>
      </c>
      <c r="H382" s="24">
        <f>G382/D382</f>
        <v>0.55000000000000004</v>
      </c>
      <c r="I382" s="225" t="s">
        <v>218</v>
      </c>
      <c r="J382" s="175"/>
      <c r="L382" s="3"/>
    </row>
    <row r="383" spans="1:12" s="176" customFormat="1" x14ac:dyDescent="0.25">
      <c r="A383" s="40"/>
      <c r="B383" s="190"/>
      <c r="C383" s="193"/>
      <c r="D383" s="192"/>
      <c r="E383" s="192"/>
      <c r="F383" s="181"/>
      <c r="G383" s="192"/>
      <c r="H383" s="24"/>
      <c r="I383" s="225"/>
      <c r="J383" s="175"/>
      <c r="L383" s="3"/>
    </row>
    <row r="384" spans="1:12" s="176" customFormat="1" x14ac:dyDescent="0.25">
      <c r="A384" s="40"/>
      <c r="B384" s="167" t="s">
        <v>49</v>
      </c>
      <c r="C384" s="35" t="s">
        <v>222</v>
      </c>
      <c r="D384" s="191">
        <f>SUM(D385:D390)</f>
        <v>7190684820</v>
      </c>
      <c r="E384" s="191">
        <f t="shared" ref="E384:G384" si="139">SUM(E385:E390)</f>
        <v>2361210007</v>
      </c>
      <c r="F384" s="196">
        <f t="shared" si="139"/>
        <v>0</v>
      </c>
      <c r="G384" s="191">
        <f t="shared" si="139"/>
        <v>2361210007</v>
      </c>
      <c r="H384" s="236">
        <f>G384/D384</f>
        <v>0.32837067207181525</v>
      </c>
      <c r="I384" s="227"/>
      <c r="J384" s="175"/>
      <c r="L384" s="3"/>
    </row>
    <row r="385" spans="1:12" s="176" customFormat="1" x14ac:dyDescent="0.25">
      <c r="A385" s="40"/>
      <c r="B385" s="190" t="s">
        <v>551</v>
      </c>
      <c r="C385" s="193" t="s">
        <v>223</v>
      </c>
      <c r="D385" s="192">
        <v>3898007720</v>
      </c>
      <c r="E385" s="192">
        <f>'Realisasi Sept'!G385</f>
        <v>1554209607</v>
      </c>
      <c r="F385" s="181"/>
      <c r="G385" s="192">
        <f>E385+F385</f>
        <v>1554209607</v>
      </c>
      <c r="H385" s="24">
        <f>G385/D385</f>
        <v>0.39871896585161204</v>
      </c>
      <c r="I385" s="225" t="s">
        <v>218</v>
      </c>
      <c r="J385" s="175"/>
      <c r="L385" s="3"/>
    </row>
    <row r="386" spans="1:12" s="176" customFormat="1" x14ac:dyDescent="0.25">
      <c r="A386" s="40"/>
      <c r="B386" s="190" t="s">
        <v>552</v>
      </c>
      <c r="C386" s="193" t="s">
        <v>227</v>
      </c>
      <c r="D386" s="192">
        <v>459094000</v>
      </c>
      <c r="E386" s="192">
        <f>'Realisasi Sept'!G386</f>
        <v>0</v>
      </c>
      <c r="F386" s="181"/>
      <c r="G386" s="192">
        <f t="shared" ref="G386:G393" si="140">E386+F386</f>
        <v>0</v>
      </c>
      <c r="H386" s="24">
        <f>G386/D386</f>
        <v>0</v>
      </c>
      <c r="I386" s="225" t="s">
        <v>216</v>
      </c>
      <c r="J386" s="175"/>
      <c r="L386" s="3"/>
    </row>
    <row r="387" spans="1:12" s="176" customFormat="1" x14ac:dyDescent="0.25">
      <c r="A387" s="40"/>
      <c r="B387" s="190" t="s">
        <v>553</v>
      </c>
      <c r="C387" s="193" t="s">
        <v>224</v>
      </c>
      <c r="D387" s="192">
        <v>586357000</v>
      </c>
      <c r="E387" s="192">
        <f>'Realisasi Sept'!G387</f>
        <v>0</v>
      </c>
      <c r="F387" s="181"/>
      <c r="G387" s="192">
        <f t="shared" si="140"/>
        <v>0</v>
      </c>
      <c r="H387" s="24">
        <f>G387/D387</f>
        <v>0</v>
      </c>
      <c r="I387" s="225" t="s">
        <v>218</v>
      </c>
      <c r="J387" s="175"/>
      <c r="L387" s="3"/>
    </row>
    <row r="388" spans="1:12" s="176" customFormat="1" ht="18" hidden="1" customHeight="1" x14ac:dyDescent="0.25">
      <c r="A388" s="40"/>
      <c r="B388" s="52"/>
      <c r="C388" s="193" t="s">
        <v>225</v>
      </c>
      <c r="D388" s="192"/>
      <c r="E388" s="192">
        <f>'Realisasi Sept'!G388</f>
        <v>0</v>
      </c>
      <c r="F388" s="181"/>
      <c r="G388" s="192">
        <f t="shared" si="140"/>
        <v>0</v>
      </c>
      <c r="H388" s="24">
        <v>0</v>
      </c>
      <c r="I388" s="223"/>
      <c r="J388" s="175"/>
      <c r="L388" s="3"/>
    </row>
    <row r="389" spans="1:12" s="176" customFormat="1" x14ac:dyDescent="0.25">
      <c r="A389" s="40"/>
      <c r="B389" s="190" t="s">
        <v>554</v>
      </c>
      <c r="C389" s="193" t="s">
        <v>226</v>
      </c>
      <c r="D389" s="192">
        <v>113748200</v>
      </c>
      <c r="E389" s="192">
        <f>'Realisasi Sept'!G389</f>
        <v>0</v>
      </c>
      <c r="F389" s="181"/>
      <c r="G389" s="192">
        <f t="shared" si="140"/>
        <v>0</v>
      </c>
      <c r="H389" s="24">
        <f>G389/D389</f>
        <v>0</v>
      </c>
      <c r="I389" s="225" t="s">
        <v>216</v>
      </c>
      <c r="J389" s="175"/>
      <c r="L389" s="3"/>
    </row>
    <row r="390" spans="1:12" s="176" customFormat="1" x14ac:dyDescent="0.25">
      <c r="A390" s="40"/>
      <c r="B390" s="190" t="s">
        <v>386</v>
      </c>
      <c r="C390" s="193" t="s">
        <v>228</v>
      </c>
      <c r="D390" s="192">
        <v>2133477900</v>
      </c>
      <c r="E390" s="192">
        <f>'Realisasi Sept'!G390</f>
        <v>807000400</v>
      </c>
      <c r="F390" s="181"/>
      <c r="G390" s="192">
        <f t="shared" si="140"/>
        <v>807000400</v>
      </c>
      <c r="H390" s="24">
        <f>G390/D390</f>
        <v>0.37825580475898063</v>
      </c>
      <c r="I390" s="225" t="s">
        <v>216</v>
      </c>
      <c r="J390" s="175"/>
      <c r="L390" s="3"/>
    </row>
    <row r="391" spans="1:12" s="176" customFormat="1" x14ac:dyDescent="0.25">
      <c r="A391" s="40"/>
      <c r="B391" s="190"/>
      <c r="C391" s="193"/>
      <c r="D391" s="192"/>
      <c r="E391" s="192"/>
      <c r="F391" s="181"/>
      <c r="G391" s="192">
        <f t="shared" si="140"/>
        <v>0</v>
      </c>
      <c r="H391" s="24"/>
      <c r="I391" s="225"/>
      <c r="J391" s="175"/>
      <c r="L391" s="3"/>
    </row>
    <row r="392" spans="1:12" s="176" customFormat="1" x14ac:dyDescent="0.25">
      <c r="A392" s="40"/>
      <c r="B392" s="167" t="s">
        <v>53</v>
      </c>
      <c r="C392" s="35" t="s">
        <v>229</v>
      </c>
      <c r="D392" s="191">
        <f>SUM(D393)</f>
        <v>0</v>
      </c>
      <c r="E392" s="192">
        <f>'Realisasi Sept'!G392</f>
        <v>0</v>
      </c>
      <c r="F392" s="196">
        <f>SUM(F393)</f>
        <v>0</v>
      </c>
      <c r="G392" s="192">
        <f t="shared" si="140"/>
        <v>0</v>
      </c>
      <c r="H392" s="253" t="e">
        <f>G392/D392</f>
        <v>#DIV/0!</v>
      </c>
      <c r="I392" s="223"/>
      <c r="J392" s="175"/>
      <c r="L392" s="3"/>
    </row>
    <row r="393" spans="1:12" s="176" customFormat="1" x14ac:dyDescent="0.25">
      <c r="A393" s="40"/>
      <c r="B393" s="190" t="s">
        <v>387</v>
      </c>
      <c r="C393" s="193" t="s">
        <v>229</v>
      </c>
      <c r="D393" s="192">
        <v>0</v>
      </c>
      <c r="E393" s="192">
        <f>'Realisasi Sept'!G393</f>
        <v>0</v>
      </c>
      <c r="F393" s="181"/>
      <c r="G393" s="192">
        <f t="shared" si="140"/>
        <v>0</v>
      </c>
      <c r="H393" s="252" t="e">
        <f>G393/D393</f>
        <v>#DIV/0!</v>
      </c>
      <c r="I393" s="225" t="s">
        <v>216</v>
      </c>
      <c r="J393" s="175"/>
      <c r="L393" s="3"/>
    </row>
    <row r="394" spans="1:12" s="176" customFormat="1" x14ac:dyDescent="0.25">
      <c r="A394" s="40"/>
      <c r="B394" s="190"/>
      <c r="C394" s="193"/>
      <c r="D394" s="192"/>
      <c r="E394" s="192"/>
      <c r="F394" s="181"/>
      <c r="G394" s="192"/>
      <c r="H394" s="24"/>
      <c r="I394" s="225"/>
      <c r="J394" s="175"/>
      <c r="L394" s="3"/>
    </row>
    <row r="395" spans="1:12" s="176" customFormat="1" x14ac:dyDescent="0.25">
      <c r="A395" s="40"/>
      <c r="B395" s="167" t="s">
        <v>62</v>
      </c>
      <c r="C395" s="35" t="s">
        <v>230</v>
      </c>
      <c r="D395" s="191">
        <f>SUM(D396)</f>
        <v>0</v>
      </c>
      <c r="E395" s="192">
        <f>'Realisasi Sept'!G395</f>
        <v>0</v>
      </c>
      <c r="F395" s="196">
        <f t="shared" ref="F395:G395" si="141">SUM(F396)</f>
        <v>0</v>
      </c>
      <c r="G395" s="191">
        <f t="shared" si="141"/>
        <v>0</v>
      </c>
      <c r="H395" s="236" t="e">
        <f>G395/D395</f>
        <v>#DIV/0!</v>
      </c>
      <c r="I395" s="223"/>
      <c r="J395" s="175"/>
      <c r="L395" s="3"/>
    </row>
    <row r="396" spans="1:12" s="176" customFormat="1" x14ac:dyDescent="0.25">
      <c r="A396" s="40"/>
      <c r="B396" s="190" t="s">
        <v>555</v>
      </c>
      <c r="C396" s="193" t="s">
        <v>230</v>
      </c>
      <c r="D396" s="192"/>
      <c r="E396" s="192">
        <f>'Realisasi Sept'!G396</f>
        <v>0</v>
      </c>
      <c r="F396" s="181"/>
      <c r="G396" s="192">
        <f>E396+F396</f>
        <v>0</v>
      </c>
      <c r="H396" s="24" t="e">
        <f>G396/D396</f>
        <v>#DIV/0!</v>
      </c>
      <c r="I396" s="225" t="s">
        <v>216</v>
      </c>
      <c r="J396" s="175"/>
      <c r="L396" s="3"/>
    </row>
    <row r="397" spans="1:12" s="176" customFormat="1" x14ac:dyDescent="0.25">
      <c r="A397" s="40"/>
      <c r="B397" s="190"/>
      <c r="C397" s="193"/>
      <c r="D397" s="192"/>
      <c r="E397" s="192"/>
      <c r="F397" s="181"/>
      <c r="G397" s="192"/>
      <c r="H397" s="24"/>
      <c r="I397" s="225"/>
      <c r="J397" s="175"/>
      <c r="L397" s="3"/>
    </row>
    <row r="398" spans="1:12" s="176" customFormat="1" x14ac:dyDescent="0.25">
      <c r="A398" s="40"/>
      <c r="B398" s="167" t="s">
        <v>66</v>
      </c>
      <c r="C398" s="35" t="s">
        <v>231</v>
      </c>
      <c r="D398" s="191">
        <f>SUM(D399)</f>
        <v>0</v>
      </c>
      <c r="E398" s="192">
        <f>'Realisasi Sept'!G398</f>
        <v>0</v>
      </c>
      <c r="F398" s="196">
        <f t="shared" ref="F398:G398" si="142">SUM(F399)</f>
        <v>0</v>
      </c>
      <c r="G398" s="191">
        <f t="shared" si="142"/>
        <v>0</v>
      </c>
      <c r="H398" s="236" t="e">
        <f>G398/D398</f>
        <v>#DIV/0!</v>
      </c>
      <c r="I398" s="223"/>
      <c r="J398" s="175"/>
      <c r="L398" s="3"/>
    </row>
    <row r="399" spans="1:12" s="176" customFormat="1" x14ac:dyDescent="0.25">
      <c r="A399" s="40"/>
      <c r="B399" s="190" t="s">
        <v>556</v>
      </c>
      <c r="C399" s="193" t="s">
        <v>231</v>
      </c>
      <c r="D399" s="192"/>
      <c r="E399" s="192">
        <f>'Realisasi Sept'!G399</f>
        <v>0</v>
      </c>
      <c r="F399" s="181"/>
      <c r="G399" s="192">
        <f>E399+F399</f>
        <v>0</v>
      </c>
      <c r="H399" s="24" t="e">
        <f>G399/D399</f>
        <v>#DIV/0!</v>
      </c>
      <c r="I399" s="225" t="s">
        <v>216</v>
      </c>
      <c r="J399" s="175"/>
      <c r="L399" s="3"/>
    </row>
    <row r="400" spans="1:12" s="176" customFormat="1" x14ac:dyDescent="0.25">
      <c r="A400" s="40"/>
      <c r="B400" s="190"/>
      <c r="C400" s="193"/>
      <c r="D400" s="192"/>
      <c r="E400" s="192"/>
      <c r="F400" s="181"/>
      <c r="G400" s="192"/>
      <c r="H400" s="24"/>
      <c r="I400" s="225"/>
      <c r="J400" s="175"/>
      <c r="L400" s="3"/>
    </row>
    <row r="401" spans="1:14" s="176" customFormat="1" x14ac:dyDescent="0.25">
      <c r="A401" s="40"/>
      <c r="B401" s="167" t="s">
        <v>73</v>
      </c>
      <c r="C401" s="185" t="s">
        <v>232</v>
      </c>
      <c r="D401" s="191">
        <f>D402</f>
        <v>289414900</v>
      </c>
      <c r="E401" s="192">
        <f>'Realisasi Sept'!G401</f>
        <v>0</v>
      </c>
      <c r="F401" s="196">
        <f t="shared" ref="F401:G401" si="143">F402</f>
        <v>0</v>
      </c>
      <c r="G401" s="191">
        <f t="shared" si="143"/>
        <v>0</v>
      </c>
      <c r="H401" s="236">
        <f>G401/D401</f>
        <v>0</v>
      </c>
      <c r="I401" s="225"/>
      <c r="J401" s="175"/>
      <c r="L401" s="3"/>
    </row>
    <row r="402" spans="1:14" s="176" customFormat="1" x14ac:dyDescent="0.25">
      <c r="A402" s="40"/>
      <c r="B402" s="190" t="s">
        <v>557</v>
      </c>
      <c r="C402" s="183" t="s">
        <v>232</v>
      </c>
      <c r="D402" s="192">
        <v>289414900</v>
      </c>
      <c r="E402" s="192">
        <f>'Realisasi Sept'!G402</f>
        <v>0</v>
      </c>
      <c r="F402" s="181"/>
      <c r="G402" s="192">
        <f>E402+F402</f>
        <v>0</v>
      </c>
      <c r="H402" s="24">
        <f>G402/D402</f>
        <v>0</v>
      </c>
      <c r="I402" s="225" t="s">
        <v>216</v>
      </c>
      <c r="J402" s="175"/>
      <c r="L402" s="3"/>
    </row>
    <row r="403" spans="1:14" s="176" customFormat="1" x14ac:dyDescent="0.25">
      <c r="A403" s="40"/>
      <c r="B403" s="190"/>
      <c r="C403" s="183"/>
      <c r="D403" s="192"/>
      <c r="E403" s="192"/>
      <c r="F403" s="181"/>
      <c r="G403" s="192"/>
      <c r="H403" s="24"/>
      <c r="I403" s="225"/>
      <c r="J403" s="175"/>
      <c r="L403" s="3"/>
    </row>
    <row r="404" spans="1:14" s="176" customFormat="1" x14ac:dyDescent="0.25">
      <c r="A404" s="40"/>
      <c r="B404" s="167" t="s">
        <v>74</v>
      </c>
      <c r="C404" s="185" t="s">
        <v>233</v>
      </c>
      <c r="D404" s="191">
        <f>D405</f>
        <v>254403060</v>
      </c>
      <c r="E404" s="191">
        <f t="shared" ref="E404:G404" si="144">E405</f>
        <v>52966060</v>
      </c>
      <c r="F404" s="196">
        <f t="shared" si="144"/>
        <v>0</v>
      </c>
      <c r="G404" s="191">
        <f t="shared" si="144"/>
        <v>52966060</v>
      </c>
      <c r="H404" s="236">
        <f>G404/D404</f>
        <v>0.20819741712226261</v>
      </c>
      <c r="I404" s="225"/>
      <c r="J404" s="175"/>
      <c r="L404" s="3"/>
    </row>
    <row r="405" spans="1:14" s="176" customFormat="1" x14ac:dyDescent="0.25">
      <c r="A405" s="40"/>
      <c r="B405" s="190" t="s">
        <v>558</v>
      </c>
      <c r="C405" s="183" t="s">
        <v>233</v>
      </c>
      <c r="D405" s="192">
        <v>254403060</v>
      </c>
      <c r="E405" s="192">
        <f>'Realisasi Sept'!G405</f>
        <v>52966060</v>
      </c>
      <c r="F405" s="181"/>
      <c r="G405" s="192">
        <f>E405+F405</f>
        <v>52966060</v>
      </c>
      <c r="H405" s="24">
        <f>G405/D405</f>
        <v>0.20819741712226261</v>
      </c>
      <c r="I405" s="225" t="s">
        <v>216</v>
      </c>
      <c r="J405" s="175"/>
      <c r="L405" s="3"/>
    </row>
    <row r="406" spans="1:14" s="176" customFormat="1" x14ac:dyDescent="0.25">
      <c r="A406" s="40"/>
      <c r="B406" s="22"/>
      <c r="C406" s="183"/>
      <c r="D406" s="192"/>
      <c r="E406" s="192"/>
      <c r="F406" s="181"/>
      <c r="G406" s="192"/>
      <c r="H406" s="24"/>
      <c r="I406" s="225"/>
      <c r="J406" s="175"/>
      <c r="L406" s="3"/>
    </row>
    <row r="407" spans="1:14" s="176" customFormat="1" x14ac:dyDescent="0.25">
      <c r="A407" s="40"/>
      <c r="B407" s="167" t="s">
        <v>81</v>
      </c>
      <c r="C407" s="185" t="s">
        <v>234</v>
      </c>
      <c r="D407" s="191">
        <f>D408</f>
        <v>752600000</v>
      </c>
      <c r="E407" s="191">
        <f t="shared" ref="E407:G407" si="145">E408</f>
        <v>376300000</v>
      </c>
      <c r="F407" s="196">
        <f t="shared" si="145"/>
        <v>0</v>
      </c>
      <c r="G407" s="191">
        <f t="shared" si="145"/>
        <v>376300000</v>
      </c>
      <c r="H407" s="236">
        <f>G407/D407</f>
        <v>0.5</v>
      </c>
      <c r="I407" s="225"/>
      <c r="J407" s="175"/>
      <c r="L407" s="3"/>
    </row>
    <row r="408" spans="1:14" s="176" customFormat="1" x14ac:dyDescent="0.25">
      <c r="A408" s="40"/>
      <c r="B408" s="190" t="s">
        <v>559</v>
      </c>
      <c r="C408" s="183" t="s">
        <v>234</v>
      </c>
      <c r="D408" s="192">
        <v>752600000</v>
      </c>
      <c r="E408" s="192">
        <f>'Realisasi Sept'!G408</f>
        <v>376300000</v>
      </c>
      <c r="F408" s="181"/>
      <c r="G408" s="192">
        <f>E408+F408</f>
        <v>376300000</v>
      </c>
      <c r="H408" s="24">
        <f>G408/D408</f>
        <v>0.5</v>
      </c>
      <c r="I408" s="225" t="s">
        <v>216</v>
      </c>
      <c r="J408" s="175"/>
      <c r="L408" s="3"/>
    </row>
    <row r="409" spans="1:14" s="176" customFormat="1" x14ac:dyDescent="0.25">
      <c r="A409" s="40"/>
      <c r="B409" s="22"/>
      <c r="C409" s="183"/>
      <c r="D409" s="192"/>
      <c r="E409" s="192"/>
      <c r="F409" s="181"/>
      <c r="G409" s="191"/>
      <c r="H409" s="236"/>
      <c r="I409" s="223"/>
      <c r="J409" s="175"/>
      <c r="L409" s="3"/>
    </row>
    <row r="410" spans="1:14" s="176" customFormat="1" x14ac:dyDescent="0.25">
      <c r="A410" s="132" t="s">
        <v>91</v>
      </c>
      <c r="B410" s="133" t="s">
        <v>396</v>
      </c>
      <c r="C410" s="130" t="s">
        <v>236</v>
      </c>
      <c r="D410" s="131">
        <f>D411</f>
        <v>20360896000</v>
      </c>
      <c r="E410" s="131">
        <f>E411</f>
        <v>8863324000</v>
      </c>
      <c r="F410" s="408">
        <f t="shared" ref="F410:G411" si="146">F411</f>
        <v>0</v>
      </c>
      <c r="G410" s="131">
        <f t="shared" si="146"/>
        <v>8863324000</v>
      </c>
      <c r="H410" s="239">
        <f>G410/D410</f>
        <v>0.43531109829351322</v>
      </c>
      <c r="I410" s="225" t="s">
        <v>237</v>
      </c>
      <c r="J410" s="175"/>
      <c r="L410" s="3"/>
    </row>
    <row r="411" spans="1:14" s="176" customFormat="1" x14ac:dyDescent="0.25">
      <c r="A411" s="122"/>
      <c r="B411" s="189" t="s">
        <v>397</v>
      </c>
      <c r="C411" s="35" t="s">
        <v>236</v>
      </c>
      <c r="D411" s="121">
        <f>D412</f>
        <v>20360896000</v>
      </c>
      <c r="E411" s="121">
        <f>E412</f>
        <v>8863324000</v>
      </c>
      <c r="F411" s="409">
        <f t="shared" si="146"/>
        <v>0</v>
      </c>
      <c r="G411" s="121">
        <f t="shared" si="146"/>
        <v>8863324000</v>
      </c>
      <c r="H411" s="236">
        <f>G411/D411</f>
        <v>0.43531109829351322</v>
      </c>
      <c r="I411" s="225"/>
      <c r="J411" s="175"/>
      <c r="L411" s="3"/>
    </row>
    <row r="412" spans="1:14" s="176" customFormat="1" x14ac:dyDescent="0.25">
      <c r="A412" s="40"/>
      <c r="B412" s="189" t="s">
        <v>560</v>
      </c>
      <c r="C412" s="35" t="s">
        <v>236</v>
      </c>
      <c r="D412" s="121">
        <v>20360896000</v>
      </c>
      <c r="E412" s="121">
        <f>'Realisasi Sept'!G412</f>
        <v>8863324000</v>
      </c>
      <c r="F412" s="409"/>
      <c r="G412" s="191">
        <f>E412+F412</f>
        <v>8863324000</v>
      </c>
      <c r="H412" s="236">
        <f>G412/D412</f>
        <v>0.43531109829351322</v>
      </c>
      <c r="I412" s="223"/>
      <c r="J412" s="175"/>
      <c r="L412" s="3"/>
      <c r="N412" s="176" t="s">
        <v>580</v>
      </c>
    </row>
    <row r="413" spans="1:14" s="176" customFormat="1" ht="30" x14ac:dyDescent="0.25">
      <c r="A413" s="40"/>
      <c r="B413" s="178"/>
      <c r="C413" s="54" t="s">
        <v>238</v>
      </c>
      <c r="D413" s="55"/>
      <c r="E413" s="55"/>
      <c r="F413" s="410"/>
      <c r="G413" s="192">
        <f>F413-D413</f>
        <v>0</v>
      </c>
      <c r="H413" s="24"/>
      <c r="I413" s="225"/>
      <c r="J413" s="175"/>
      <c r="L413" s="3"/>
    </row>
    <row r="414" spans="1:14" s="176" customFormat="1" ht="30" x14ac:dyDescent="0.25">
      <c r="A414" s="40"/>
      <c r="B414" s="178"/>
      <c r="C414" s="54" t="s">
        <v>239</v>
      </c>
      <c r="D414" s="55"/>
      <c r="E414" s="55"/>
      <c r="F414" s="410"/>
      <c r="G414" s="192">
        <f>F414-D414</f>
        <v>0</v>
      </c>
      <c r="H414" s="24"/>
      <c r="I414" s="225"/>
      <c r="J414" s="175"/>
      <c r="L414" s="3"/>
    </row>
    <row r="415" spans="1:14" s="176" customFormat="1" ht="30" x14ac:dyDescent="0.25">
      <c r="A415" s="40"/>
      <c r="B415" s="178"/>
      <c r="C415" s="54" t="s">
        <v>240</v>
      </c>
      <c r="D415" s="55"/>
      <c r="E415" s="55"/>
      <c r="F415" s="410"/>
      <c r="G415" s="192">
        <f>F415-D415</f>
        <v>0</v>
      </c>
      <c r="H415" s="24"/>
      <c r="I415" s="225"/>
      <c r="J415" s="175"/>
      <c r="L415" s="3"/>
    </row>
    <row r="416" spans="1:14" s="176" customFormat="1" x14ac:dyDescent="0.25">
      <c r="A416" s="56"/>
      <c r="B416" s="57"/>
      <c r="C416" s="58"/>
      <c r="D416" s="192"/>
      <c r="E416" s="192"/>
      <c r="F416" s="181"/>
      <c r="G416" s="191"/>
      <c r="H416" s="236"/>
      <c r="I416" s="228"/>
      <c r="J416" s="175"/>
      <c r="L416" s="3"/>
    </row>
    <row r="417" spans="1:12" s="176" customFormat="1" ht="25.5" customHeight="1" x14ac:dyDescent="0.25">
      <c r="A417" s="134" t="s">
        <v>417</v>
      </c>
      <c r="B417" s="135" t="s">
        <v>398</v>
      </c>
      <c r="C417" s="136" t="s">
        <v>399</v>
      </c>
      <c r="D417" s="137">
        <f>SUM(D418+D431)</f>
        <v>145013445488.33002</v>
      </c>
      <c r="E417" s="137">
        <f t="shared" ref="E417:G417" si="147">SUM(E418+E431)</f>
        <v>73736868431</v>
      </c>
      <c r="F417" s="411">
        <f t="shared" si="147"/>
        <v>29974250599</v>
      </c>
      <c r="G417" s="137">
        <f t="shared" si="147"/>
        <v>103711119030</v>
      </c>
      <c r="H417" s="238">
        <f t="shared" ref="H417:H429" si="148">G417/D417</f>
        <v>0.71518277964332744</v>
      </c>
      <c r="I417" s="229"/>
      <c r="J417" s="175"/>
      <c r="L417" s="3"/>
    </row>
    <row r="418" spans="1:12" s="176" customFormat="1" ht="25.5" customHeight="1" x14ac:dyDescent="0.25">
      <c r="A418" s="169" t="s">
        <v>426</v>
      </c>
      <c r="B418" s="189" t="s">
        <v>400</v>
      </c>
      <c r="C418" s="185" t="s">
        <v>401</v>
      </c>
      <c r="D418" s="191">
        <f>D419</f>
        <v>135038655888.33</v>
      </c>
      <c r="E418" s="191">
        <f t="shared" ref="E418:G418" si="149">E419</f>
        <v>68120868431</v>
      </c>
      <c r="F418" s="196">
        <f t="shared" si="149"/>
        <v>29974250599</v>
      </c>
      <c r="G418" s="191">
        <f t="shared" si="149"/>
        <v>98095119030</v>
      </c>
      <c r="H418" s="236">
        <f t="shared" si="148"/>
        <v>0.72642250757530935</v>
      </c>
      <c r="I418" s="230"/>
      <c r="J418" s="175"/>
      <c r="L418" s="3"/>
    </row>
    <row r="419" spans="1:12" s="176" customFormat="1" ht="25.5" customHeight="1" x14ac:dyDescent="0.25">
      <c r="A419" s="169"/>
      <c r="B419" s="189" t="s">
        <v>402</v>
      </c>
      <c r="C419" s="185" t="s">
        <v>403</v>
      </c>
      <c r="D419" s="191">
        <f>SUM(D420:D429)</f>
        <v>135038655888.33</v>
      </c>
      <c r="E419" s="191">
        <f t="shared" ref="E419:G419" si="150">SUM(E420:E429)</f>
        <v>68120868431</v>
      </c>
      <c r="F419" s="196">
        <f t="shared" si="150"/>
        <v>29974250599</v>
      </c>
      <c r="G419" s="191">
        <f t="shared" si="150"/>
        <v>98095119030</v>
      </c>
      <c r="H419" s="236">
        <f t="shared" si="148"/>
        <v>0.72642250757530935</v>
      </c>
      <c r="I419" s="230"/>
      <c r="J419" s="175"/>
      <c r="L419" s="3"/>
    </row>
    <row r="420" spans="1:12" s="176" customFormat="1" ht="25.5" customHeight="1" x14ac:dyDescent="0.25">
      <c r="A420" s="184" t="s">
        <v>89</v>
      </c>
      <c r="B420" s="190" t="s">
        <v>561</v>
      </c>
      <c r="C420" s="183" t="s">
        <v>244</v>
      </c>
      <c r="D420" s="178">
        <v>32206000000</v>
      </c>
      <c r="E420" s="178">
        <f>'Realisasi Sept'!G420</f>
        <v>13133389309</v>
      </c>
      <c r="F420" s="412">
        <v>7147992579</v>
      </c>
      <c r="G420" s="192">
        <f>E420+F420</f>
        <v>20281381888</v>
      </c>
      <c r="H420" s="24">
        <f t="shared" si="148"/>
        <v>0.62973923765757933</v>
      </c>
      <c r="I420" s="231"/>
      <c r="J420" s="175"/>
      <c r="L420" s="3"/>
    </row>
    <row r="421" spans="1:12" s="176" customFormat="1" ht="25.5" customHeight="1" x14ac:dyDescent="0.25">
      <c r="A421" s="188"/>
      <c r="B421" s="178"/>
      <c r="C421" s="193" t="s">
        <v>664</v>
      </c>
      <c r="D421" s="55">
        <v>2690492585</v>
      </c>
      <c r="E421" s="178">
        <f>'Realisasi Sept'!G421</f>
        <v>0</v>
      </c>
      <c r="F421" s="410"/>
      <c r="G421" s="192">
        <f t="shared" ref="G421:G429" si="151">E421+F421</f>
        <v>0</v>
      </c>
      <c r="H421" s="24">
        <f t="shared" si="148"/>
        <v>0</v>
      </c>
      <c r="I421" s="231"/>
      <c r="J421" s="175"/>
      <c r="L421" s="3"/>
    </row>
    <row r="422" spans="1:12" s="176" customFormat="1" ht="25.5" customHeight="1" x14ac:dyDescent="0.25">
      <c r="A422" s="184" t="s">
        <v>91</v>
      </c>
      <c r="B422" s="190" t="s">
        <v>562</v>
      </c>
      <c r="C422" s="183" t="s">
        <v>245</v>
      </c>
      <c r="D422" s="178">
        <v>17327982563</v>
      </c>
      <c r="E422" s="178">
        <f>'Realisasi Sept'!G422</f>
        <v>11127715256</v>
      </c>
      <c r="F422" s="412">
        <v>5516472519</v>
      </c>
      <c r="G422" s="192">
        <f t="shared" si="151"/>
        <v>16644187775</v>
      </c>
      <c r="H422" s="24">
        <f t="shared" si="148"/>
        <v>0.96053811887714557</v>
      </c>
      <c r="I422" s="231"/>
      <c r="J422" s="175"/>
      <c r="L422" s="3"/>
    </row>
    <row r="423" spans="1:12" s="176" customFormat="1" ht="25.5" customHeight="1" x14ac:dyDescent="0.25">
      <c r="A423" s="188"/>
      <c r="B423" s="178"/>
      <c r="C423" s="193" t="s">
        <v>665</v>
      </c>
      <c r="D423" s="55">
        <v>2504702813</v>
      </c>
      <c r="E423" s="178">
        <f>'Realisasi Sept'!G423</f>
        <v>0</v>
      </c>
      <c r="F423" s="410"/>
      <c r="G423" s="192">
        <f t="shared" si="151"/>
        <v>0</v>
      </c>
      <c r="H423" s="24">
        <f t="shared" si="148"/>
        <v>0</v>
      </c>
      <c r="I423" s="232"/>
      <c r="J423" s="175"/>
      <c r="L423" s="3"/>
    </row>
    <row r="424" spans="1:12" s="176" customFormat="1" ht="25.5" customHeight="1" x14ac:dyDescent="0.25">
      <c r="A424" s="184" t="s">
        <v>72</v>
      </c>
      <c r="B424" s="190" t="s">
        <v>563</v>
      </c>
      <c r="C424" s="183" t="s">
        <v>246</v>
      </c>
      <c r="D424" s="178">
        <v>52123540857</v>
      </c>
      <c r="E424" s="178">
        <f>'Realisasi Sept'!G424</f>
        <v>27524539677</v>
      </c>
      <c r="F424" s="412">
        <v>17020492328</v>
      </c>
      <c r="G424" s="192">
        <f t="shared" si="151"/>
        <v>44545032005</v>
      </c>
      <c r="H424" s="24">
        <f t="shared" si="148"/>
        <v>0.85460487281952879</v>
      </c>
      <c r="I424" s="232"/>
      <c r="J424" s="175"/>
      <c r="L424" s="3"/>
    </row>
    <row r="425" spans="1:12" s="176" customFormat="1" ht="25.5" customHeight="1" x14ac:dyDescent="0.25">
      <c r="A425" s="188"/>
      <c r="B425" s="178"/>
      <c r="C425" s="193" t="s">
        <v>666</v>
      </c>
      <c r="D425" s="55">
        <v>4867170924</v>
      </c>
      <c r="E425" s="178">
        <f>'Realisasi Sept'!G425</f>
        <v>0</v>
      </c>
      <c r="F425" s="410"/>
      <c r="G425" s="192">
        <f t="shared" si="151"/>
        <v>0</v>
      </c>
      <c r="H425" s="24">
        <f t="shared" si="148"/>
        <v>0</v>
      </c>
      <c r="I425" s="231"/>
      <c r="J425" s="175"/>
      <c r="L425" s="3"/>
    </row>
    <row r="426" spans="1:12" s="176" customFormat="1" ht="25.5" customHeight="1" x14ac:dyDescent="0.25">
      <c r="A426" s="184" t="s">
        <v>168</v>
      </c>
      <c r="B426" s="190" t="s">
        <v>564</v>
      </c>
      <c r="C426" s="183" t="s">
        <v>247</v>
      </c>
      <c r="D426" s="192">
        <v>4416983951</v>
      </c>
      <c r="E426" s="178">
        <f>'Realisasi Sept'!G426</f>
        <v>546188358</v>
      </c>
      <c r="F426" s="181">
        <v>289293173</v>
      </c>
      <c r="G426" s="192">
        <f t="shared" si="151"/>
        <v>835481531</v>
      </c>
      <c r="H426" s="24">
        <f t="shared" si="148"/>
        <v>0.18915204136316771</v>
      </c>
      <c r="I426" s="233"/>
      <c r="J426" s="175"/>
      <c r="L426" s="3"/>
    </row>
    <row r="427" spans="1:12" s="176" customFormat="1" ht="25.5" customHeight="1" x14ac:dyDescent="0.25">
      <c r="A427" s="188"/>
      <c r="B427" s="178"/>
      <c r="C427" s="193" t="s">
        <v>667</v>
      </c>
      <c r="D427" s="55">
        <v>94357303</v>
      </c>
      <c r="E427" s="178">
        <f>'Realisasi Sept'!G427</f>
        <v>0</v>
      </c>
      <c r="F427" s="410"/>
      <c r="G427" s="192">
        <f t="shared" si="151"/>
        <v>0</v>
      </c>
      <c r="H427" s="24">
        <f t="shared" si="148"/>
        <v>0</v>
      </c>
      <c r="I427" s="232"/>
      <c r="J427" s="175"/>
      <c r="L427" s="3"/>
    </row>
    <row r="428" spans="1:12" s="176" customFormat="1" ht="25.5" customHeight="1" x14ac:dyDescent="0.25">
      <c r="A428" s="184" t="s">
        <v>404</v>
      </c>
      <c r="B428" s="190" t="s">
        <v>565</v>
      </c>
      <c r="C428" s="183" t="s">
        <v>248</v>
      </c>
      <c r="D428" s="178">
        <v>18807424892.330002</v>
      </c>
      <c r="E428" s="178">
        <f>'Realisasi Sept'!G428</f>
        <v>12848973467</v>
      </c>
      <c r="F428" s="412"/>
      <c r="G428" s="192">
        <f t="shared" si="151"/>
        <v>12848973467</v>
      </c>
      <c r="H428" s="24">
        <f t="shared" si="148"/>
        <v>0.68318621717532613</v>
      </c>
      <c r="I428" s="232"/>
      <c r="J428" s="175"/>
      <c r="L428" s="3"/>
    </row>
    <row r="429" spans="1:12" s="176" customFormat="1" ht="25.5" customHeight="1" x14ac:dyDescent="0.25">
      <c r="A429" s="188"/>
      <c r="B429" s="178"/>
      <c r="C429" s="193" t="s">
        <v>668</v>
      </c>
      <c r="D429" s="55"/>
      <c r="E429" s="178">
        <f>'Realisasi Sept'!G429</f>
        <v>2940062364</v>
      </c>
      <c r="F429" s="410"/>
      <c r="G429" s="192">
        <f t="shared" si="151"/>
        <v>2940062364</v>
      </c>
      <c r="H429" s="24" t="e">
        <f t="shared" si="148"/>
        <v>#DIV/0!</v>
      </c>
      <c r="I429" s="231"/>
      <c r="J429" s="175"/>
      <c r="L429" s="3"/>
    </row>
    <row r="430" spans="1:12" s="176" customFormat="1" ht="25.5" customHeight="1" x14ac:dyDescent="0.25">
      <c r="A430" s="188"/>
      <c r="B430" s="178"/>
      <c r="C430" s="193"/>
      <c r="D430" s="55"/>
      <c r="E430" s="55"/>
      <c r="F430" s="410"/>
      <c r="G430" s="192"/>
      <c r="H430" s="24"/>
      <c r="I430" s="231"/>
      <c r="J430" s="175"/>
      <c r="L430" s="3"/>
    </row>
    <row r="431" spans="1:12" s="176" customFormat="1" ht="25.5" customHeight="1" x14ac:dyDescent="0.25">
      <c r="A431" s="169" t="s">
        <v>163</v>
      </c>
      <c r="B431" s="189" t="s">
        <v>425</v>
      </c>
      <c r="C431" s="185" t="s">
        <v>428</v>
      </c>
      <c r="D431" s="53">
        <f>SUM(D432+D434)</f>
        <v>9974789600</v>
      </c>
      <c r="E431" s="53">
        <f>E434</f>
        <v>5616000000</v>
      </c>
      <c r="F431" s="413">
        <f t="shared" ref="F431:G431" si="152">SUM(F432+F434)</f>
        <v>0</v>
      </c>
      <c r="G431" s="53">
        <f t="shared" si="152"/>
        <v>5616000000</v>
      </c>
      <c r="H431" s="236">
        <f>G431/D431</f>
        <v>0.56301939441409365</v>
      </c>
      <c r="I431" s="231"/>
      <c r="J431" s="175"/>
      <c r="L431" s="3"/>
    </row>
    <row r="432" spans="1:12" s="176" customFormat="1" ht="25.5" customHeight="1" x14ac:dyDescent="0.25">
      <c r="A432" s="188"/>
      <c r="B432" s="189" t="s">
        <v>429</v>
      </c>
      <c r="C432" s="185" t="s">
        <v>430</v>
      </c>
      <c r="D432" s="55">
        <f>D433</f>
        <v>0</v>
      </c>
      <c r="E432" s="55"/>
      <c r="F432" s="410">
        <f>F433</f>
        <v>0</v>
      </c>
      <c r="G432" s="192">
        <f>F432-D432</f>
        <v>0</v>
      </c>
      <c r="H432" s="24"/>
      <c r="I432" s="231"/>
      <c r="J432" s="175"/>
      <c r="L432" s="3"/>
    </row>
    <row r="433" spans="1:12" s="176" customFormat="1" ht="25.5" customHeight="1" x14ac:dyDescent="0.25">
      <c r="A433" s="188"/>
      <c r="B433" s="189" t="s">
        <v>431</v>
      </c>
      <c r="C433" s="185" t="s">
        <v>432</v>
      </c>
      <c r="D433" s="55"/>
      <c r="E433" s="55"/>
      <c r="F433" s="410"/>
      <c r="G433" s="192">
        <f>F433-D433</f>
        <v>0</v>
      </c>
      <c r="H433" s="24"/>
      <c r="I433" s="231"/>
      <c r="J433" s="175"/>
      <c r="L433" s="3"/>
    </row>
    <row r="434" spans="1:12" s="176" customFormat="1" ht="25.5" customHeight="1" x14ac:dyDescent="0.25">
      <c r="A434" s="188"/>
      <c r="B434" s="189" t="s">
        <v>433</v>
      </c>
      <c r="C434" s="185" t="s">
        <v>434</v>
      </c>
      <c r="D434" s="53">
        <f>D435+D437+D438</f>
        <v>9974789600</v>
      </c>
      <c r="E434" s="53">
        <f>E435</f>
        <v>5616000000</v>
      </c>
      <c r="F434" s="413">
        <f t="shared" ref="F434:G434" si="153">F435+F437+F438</f>
        <v>0</v>
      </c>
      <c r="G434" s="53">
        <f t="shared" si="153"/>
        <v>5616000000</v>
      </c>
      <c r="H434" s="236">
        <f t="shared" ref="H434:H448" si="154">G434/D434</f>
        <v>0.56301939441409365</v>
      </c>
      <c r="I434" s="231"/>
      <c r="J434" s="175"/>
      <c r="L434" s="3"/>
    </row>
    <row r="435" spans="1:12" s="176" customFormat="1" ht="25.5" customHeight="1" x14ac:dyDescent="0.25">
      <c r="A435" s="188"/>
      <c r="B435" s="189" t="s">
        <v>566</v>
      </c>
      <c r="C435" s="185" t="s">
        <v>445</v>
      </c>
      <c r="D435" s="53">
        <v>9974789600</v>
      </c>
      <c r="E435" s="53">
        <f>SUM(E436:E438)</f>
        <v>5616000000</v>
      </c>
      <c r="F435" s="413">
        <f t="shared" ref="F435:G435" si="155">F436</f>
        <v>0</v>
      </c>
      <c r="G435" s="53">
        <f t="shared" si="155"/>
        <v>4628000000</v>
      </c>
      <c r="H435" s="236">
        <f t="shared" si="154"/>
        <v>0.46396968613754019</v>
      </c>
      <c r="I435" s="231"/>
      <c r="J435" s="175"/>
      <c r="L435" s="3"/>
    </row>
    <row r="436" spans="1:12" s="176" customFormat="1" ht="25.5" customHeight="1" x14ac:dyDescent="0.25">
      <c r="A436" s="188"/>
      <c r="B436" s="189"/>
      <c r="C436" s="35" t="s">
        <v>602</v>
      </c>
      <c r="D436" s="53"/>
      <c r="E436" s="53">
        <f>'Realisasi Sept'!G436</f>
        <v>4628000000</v>
      </c>
      <c r="F436" s="413"/>
      <c r="G436" s="191">
        <f>E436+F436</f>
        <v>4628000000</v>
      </c>
      <c r="H436" s="236" t="e">
        <f t="shared" si="154"/>
        <v>#DIV/0!</v>
      </c>
      <c r="I436" s="231"/>
      <c r="J436" s="175"/>
      <c r="L436" s="3"/>
    </row>
    <row r="437" spans="1:12" s="176" customFormat="1" ht="25.5" customHeight="1" x14ac:dyDescent="0.25">
      <c r="A437" s="188"/>
      <c r="B437" s="189"/>
      <c r="C437" s="35" t="s">
        <v>603</v>
      </c>
      <c r="D437" s="53"/>
      <c r="E437" s="53"/>
      <c r="F437" s="413"/>
      <c r="G437" s="191">
        <f t="shared" ref="G437:G440" si="156">E437+F437</f>
        <v>0</v>
      </c>
      <c r="H437" s="236" t="e">
        <f t="shared" si="154"/>
        <v>#DIV/0!</v>
      </c>
      <c r="I437" s="231"/>
      <c r="J437" s="175"/>
      <c r="L437" s="3"/>
    </row>
    <row r="438" spans="1:12" s="176" customFormat="1" ht="25.5" customHeight="1" x14ac:dyDescent="0.25">
      <c r="A438" s="188"/>
      <c r="B438" s="189"/>
      <c r="C438" s="35" t="s">
        <v>604</v>
      </c>
      <c r="D438" s="53">
        <f>SUM(D439:D440)</f>
        <v>0</v>
      </c>
      <c r="E438" s="53">
        <f>'Realisasi Sept'!G438</f>
        <v>988000000</v>
      </c>
      <c r="F438" s="413">
        <f t="shared" ref="F438" si="157">SUM(F439:F440)</f>
        <v>0</v>
      </c>
      <c r="G438" s="191">
        <f t="shared" si="156"/>
        <v>988000000</v>
      </c>
      <c r="H438" s="236" t="e">
        <f t="shared" si="154"/>
        <v>#DIV/0!</v>
      </c>
      <c r="I438" s="231"/>
      <c r="J438" s="175"/>
      <c r="L438" s="3"/>
    </row>
    <row r="439" spans="1:12" s="176" customFormat="1" ht="25.5" customHeight="1" x14ac:dyDescent="0.25">
      <c r="A439" s="188"/>
      <c r="B439" s="189"/>
      <c r="C439" s="193" t="s">
        <v>605</v>
      </c>
      <c r="D439" s="55"/>
      <c r="E439" s="55"/>
      <c r="F439" s="410"/>
      <c r="G439" s="191">
        <f t="shared" si="156"/>
        <v>0</v>
      </c>
      <c r="H439" s="24" t="e">
        <f t="shared" si="154"/>
        <v>#DIV/0!</v>
      </c>
      <c r="I439" s="231"/>
      <c r="J439" s="175"/>
      <c r="L439" s="3"/>
    </row>
    <row r="440" spans="1:12" s="176" customFormat="1" ht="25.5" customHeight="1" x14ac:dyDescent="0.25">
      <c r="A440" s="188"/>
      <c r="B440" s="178"/>
      <c r="C440" s="193" t="s">
        <v>606</v>
      </c>
      <c r="D440" s="55"/>
      <c r="E440" s="55"/>
      <c r="F440" s="410"/>
      <c r="G440" s="191">
        <f t="shared" si="156"/>
        <v>0</v>
      </c>
      <c r="H440" s="24" t="e">
        <f t="shared" si="154"/>
        <v>#DIV/0!</v>
      </c>
      <c r="I440" s="231"/>
      <c r="J440" s="175"/>
      <c r="L440" s="3"/>
    </row>
    <row r="441" spans="1:12" s="176" customFormat="1" ht="25.5" customHeight="1" x14ac:dyDescent="0.25">
      <c r="A441" s="129" t="s">
        <v>241</v>
      </c>
      <c r="B441" s="128" t="s">
        <v>242</v>
      </c>
      <c r="C441" s="41" t="s">
        <v>243</v>
      </c>
      <c r="D441" s="42">
        <f>D442</f>
        <v>0</v>
      </c>
      <c r="E441" s="42"/>
      <c r="F441" s="406">
        <f t="shared" ref="F441:G442" si="158">F442</f>
        <v>0</v>
      </c>
      <c r="G441" s="42">
        <f t="shared" si="158"/>
        <v>0</v>
      </c>
      <c r="H441" s="237" t="e">
        <f t="shared" si="154"/>
        <v>#DIV/0!</v>
      </c>
      <c r="I441" s="231"/>
      <c r="J441" s="175"/>
      <c r="L441" s="3"/>
    </row>
    <row r="442" spans="1:12" s="176" customFormat="1" ht="41.25" customHeight="1" x14ac:dyDescent="0.25">
      <c r="A442" s="168" t="s">
        <v>166</v>
      </c>
      <c r="B442" s="189" t="s">
        <v>418</v>
      </c>
      <c r="C442" s="30" t="s">
        <v>419</v>
      </c>
      <c r="D442" s="191">
        <f>D443</f>
        <v>0</v>
      </c>
      <c r="E442" s="191"/>
      <c r="F442" s="196">
        <f t="shared" si="158"/>
        <v>0</v>
      </c>
      <c r="G442" s="191">
        <f t="shared" si="158"/>
        <v>0</v>
      </c>
      <c r="H442" s="236" t="e">
        <f t="shared" si="154"/>
        <v>#DIV/0!</v>
      </c>
      <c r="I442" s="231"/>
      <c r="J442" s="175"/>
      <c r="L442" s="3"/>
    </row>
    <row r="443" spans="1:12" s="176" customFormat="1" ht="25.5" customHeight="1" x14ac:dyDescent="0.25">
      <c r="A443" s="169"/>
      <c r="B443" s="189" t="s">
        <v>420</v>
      </c>
      <c r="C443" s="185" t="s">
        <v>421</v>
      </c>
      <c r="D443" s="191">
        <f>D444+D458</f>
        <v>0</v>
      </c>
      <c r="E443" s="191"/>
      <c r="F443" s="196">
        <f t="shared" ref="F443:G443" si="159">F444+F458</f>
        <v>0</v>
      </c>
      <c r="G443" s="191">
        <f t="shared" si="159"/>
        <v>0</v>
      </c>
      <c r="H443" s="236" t="e">
        <f t="shared" si="154"/>
        <v>#DIV/0!</v>
      </c>
      <c r="I443" s="231"/>
      <c r="J443" s="175"/>
      <c r="L443" s="3"/>
    </row>
    <row r="444" spans="1:12" s="176" customFormat="1" ht="25.5" customHeight="1" x14ac:dyDescent="0.25">
      <c r="A444" s="168" t="s">
        <v>89</v>
      </c>
      <c r="B444" s="189" t="s">
        <v>422</v>
      </c>
      <c r="C444" s="185" t="s">
        <v>423</v>
      </c>
      <c r="D444" s="191">
        <f>D445</f>
        <v>0</v>
      </c>
      <c r="E444" s="191"/>
      <c r="F444" s="196">
        <f t="shared" ref="F444:G444" si="160">F445</f>
        <v>0</v>
      </c>
      <c r="G444" s="191">
        <f t="shared" si="160"/>
        <v>0</v>
      </c>
      <c r="H444" s="236" t="e">
        <f t="shared" si="154"/>
        <v>#DIV/0!</v>
      </c>
      <c r="I444" s="231"/>
      <c r="J444" s="175"/>
      <c r="L444" s="3"/>
    </row>
    <row r="445" spans="1:12" s="176" customFormat="1" ht="25.5" customHeight="1" x14ac:dyDescent="0.25">
      <c r="A445" s="169"/>
      <c r="B445" s="190" t="s">
        <v>424</v>
      </c>
      <c r="C445" s="183" t="s">
        <v>423</v>
      </c>
      <c r="D445" s="192"/>
      <c r="E445" s="192"/>
      <c r="F445" s="181"/>
      <c r="G445" s="192">
        <f>E445+F445</f>
        <v>0</v>
      </c>
      <c r="H445" s="24" t="e">
        <f t="shared" si="154"/>
        <v>#DIV/0!</v>
      </c>
      <c r="I445" s="231"/>
      <c r="J445" s="175"/>
      <c r="L445" s="3"/>
    </row>
    <row r="446" spans="1:12" s="176" customFormat="1" ht="25.5" customHeight="1" x14ac:dyDescent="0.25">
      <c r="A446" s="169"/>
      <c r="B446" s="190"/>
      <c r="C446" s="193" t="s">
        <v>607</v>
      </c>
      <c r="D446" s="192"/>
      <c r="E446" s="192"/>
      <c r="F446" s="181"/>
      <c r="G446" s="192"/>
      <c r="H446" s="24" t="e">
        <f t="shared" si="154"/>
        <v>#DIV/0!</v>
      </c>
      <c r="I446" s="231"/>
      <c r="J446" s="175"/>
      <c r="L446" s="3"/>
    </row>
    <row r="447" spans="1:12" s="176" customFormat="1" ht="25.5" customHeight="1" x14ac:dyDescent="0.25">
      <c r="A447" s="169"/>
      <c r="B447" s="190"/>
      <c r="C447" s="193" t="s">
        <v>608</v>
      </c>
      <c r="D447" s="192"/>
      <c r="E447" s="192"/>
      <c r="F447" s="181"/>
      <c r="G447" s="192"/>
      <c r="H447" s="24" t="e">
        <f t="shared" si="154"/>
        <v>#DIV/0!</v>
      </c>
      <c r="I447" s="231"/>
      <c r="J447" s="175"/>
      <c r="L447" s="3"/>
    </row>
    <row r="448" spans="1:12" s="176" customFormat="1" ht="25.5" customHeight="1" x14ac:dyDescent="0.25">
      <c r="A448" s="169"/>
      <c r="B448" s="190"/>
      <c r="C448" s="193" t="s">
        <v>609</v>
      </c>
      <c r="D448" s="192"/>
      <c r="E448" s="192"/>
      <c r="F448" s="181"/>
      <c r="G448" s="192"/>
      <c r="H448" s="24" t="e">
        <f t="shared" si="154"/>
        <v>#DIV/0!</v>
      </c>
      <c r="I448" s="231"/>
      <c r="J448" s="175"/>
      <c r="L448" s="3"/>
    </row>
    <row r="449" spans="1:12" s="176" customFormat="1" ht="25.5" customHeight="1" x14ac:dyDescent="0.25">
      <c r="A449" s="169"/>
      <c r="B449" s="190"/>
      <c r="C449" s="183" t="s">
        <v>610</v>
      </c>
      <c r="D449" s="192"/>
      <c r="E449" s="192"/>
      <c r="F449" s="181"/>
      <c r="G449" s="192"/>
      <c r="H449" s="24"/>
      <c r="I449" s="231"/>
      <c r="J449" s="175"/>
      <c r="L449" s="3"/>
    </row>
    <row r="450" spans="1:12" s="176" customFormat="1" ht="25.5" customHeight="1" x14ac:dyDescent="0.25">
      <c r="A450" s="169"/>
      <c r="B450" s="190"/>
      <c r="C450" s="183" t="s">
        <v>611</v>
      </c>
      <c r="D450" s="192"/>
      <c r="E450" s="192"/>
      <c r="F450" s="181"/>
      <c r="G450" s="192"/>
      <c r="H450" s="24"/>
      <c r="I450" s="231"/>
      <c r="J450" s="175"/>
      <c r="L450" s="3"/>
    </row>
    <row r="451" spans="1:12" s="176" customFormat="1" ht="25.5" customHeight="1" x14ac:dyDescent="0.25">
      <c r="A451" s="169"/>
      <c r="B451" s="190"/>
      <c r="C451" s="183" t="s">
        <v>612</v>
      </c>
      <c r="D451" s="192"/>
      <c r="E451" s="192"/>
      <c r="F451" s="181"/>
      <c r="G451" s="192"/>
      <c r="H451" s="24"/>
      <c r="I451" s="231"/>
      <c r="J451" s="175"/>
      <c r="L451" s="3"/>
    </row>
    <row r="452" spans="1:12" s="176" customFormat="1" ht="25.5" customHeight="1" x14ac:dyDescent="0.25">
      <c r="A452" s="169"/>
      <c r="B452" s="190"/>
      <c r="C452" s="183" t="s">
        <v>613</v>
      </c>
      <c r="D452" s="192"/>
      <c r="E452" s="192"/>
      <c r="F452" s="181"/>
      <c r="G452" s="192"/>
      <c r="H452" s="24"/>
      <c r="I452" s="231"/>
      <c r="J452" s="175"/>
      <c r="L452" s="3"/>
    </row>
    <row r="453" spans="1:12" s="176" customFormat="1" ht="25.5" customHeight="1" x14ac:dyDescent="0.25">
      <c r="A453" s="169"/>
      <c r="B453" s="190"/>
      <c r="C453" s="193" t="s">
        <v>614</v>
      </c>
      <c r="D453" s="192"/>
      <c r="E453" s="192"/>
      <c r="F453" s="181"/>
      <c r="G453" s="192"/>
      <c r="H453" s="24" t="e">
        <f>G453/D453</f>
        <v>#DIV/0!</v>
      </c>
      <c r="I453" s="231"/>
      <c r="J453" s="175"/>
      <c r="L453" s="3"/>
    </row>
    <row r="454" spans="1:12" s="176" customFormat="1" ht="25.5" customHeight="1" x14ac:dyDescent="0.25">
      <c r="A454" s="169"/>
      <c r="B454" s="190"/>
      <c r="C454" s="183" t="s">
        <v>616</v>
      </c>
      <c r="D454" s="192"/>
      <c r="E454" s="192"/>
      <c r="F454" s="181"/>
      <c r="G454" s="192"/>
      <c r="H454" s="24"/>
      <c r="I454" s="231"/>
      <c r="J454" s="175"/>
      <c r="L454" s="3"/>
    </row>
    <row r="455" spans="1:12" s="176" customFormat="1" ht="25.5" customHeight="1" x14ac:dyDescent="0.25">
      <c r="A455" s="169"/>
      <c r="B455" s="190"/>
      <c r="C455" s="183" t="s">
        <v>615</v>
      </c>
      <c r="D455" s="192"/>
      <c r="E455" s="192"/>
      <c r="F455" s="181"/>
      <c r="G455" s="192"/>
      <c r="H455" s="24"/>
      <c r="I455" s="231"/>
      <c r="J455" s="175"/>
      <c r="L455" s="3"/>
    </row>
    <row r="456" spans="1:12" s="176" customFormat="1" ht="25.5" customHeight="1" x14ac:dyDescent="0.25">
      <c r="A456" s="169"/>
      <c r="B456" s="190"/>
      <c r="C456" s="183" t="s">
        <v>617</v>
      </c>
      <c r="D456" s="192"/>
      <c r="E456" s="192"/>
      <c r="F456" s="181"/>
      <c r="G456" s="192"/>
      <c r="H456" s="24"/>
      <c r="I456" s="231"/>
      <c r="J456" s="175"/>
      <c r="L456" s="3"/>
    </row>
    <row r="457" spans="1:12" s="176" customFormat="1" ht="25.5" customHeight="1" x14ac:dyDescent="0.25">
      <c r="A457" s="169"/>
      <c r="B457" s="190"/>
      <c r="C457" s="183"/>
      <c r="D457" s="192"/>
      <c r="E457" s="192"/>
      <c r="F457" s="192"/>
      <c r="G457" s="192"/>
      <c r="H457" s="24"/>
      <c r="I457" s="231"/>
      <c r="J457" s="175"/>
      <c r="L457" s="3"/>
    </row>
    <row r="458" spans="1:12" s="176" customFormat="1" ht="25.5" customHeight="1" x14ac:dyDescent="0.25">
      <c r="A458" s="168" t="s">
        <v>91</v>
      </c>
      <c r="B458" s="189" t="s">
        <v>618</v>
      </c>
      <c r="C458" s="185" t="s">
        <v>620</v>
      </c>
      <c r="D458" s="191">
        <f>D459</f>
        <v>0</v>
      </c>
      <c r="E458" s="191"/>
      <c r="F458" s="191">
        <f t="shared" ref="F458:G458" si="161">F459</f>
        <v>0</v>
      </c>
      <c r="G458" s="191">
        <f t="shared" si="161"/>
        <v>0</v>
      </c>
      <c r="H458" s="236" t="e">
        <f>G458/D458</f>
        <v>#DIV/0!</v>
      </c>
      <c r="I458" s="231"/>
      <c r="J458" s="175"/>
      <c r="L458" s="3"/>
    </row>
    <row r="459" spans="1:12" s="176" customFormat="1" ht="32.25" customHeight="1" x14ac:dyDescent="0.25">
      <c r="A459" s="169"/>
      <c r="B459" s="190" t="s">
        <v>619</v>
      </c>
      <c r="C459" s="58" t="s">
        <v>621</v>
      </c>
      <c r="D459" s="192">
        <v>0</v>
      </c>
      <c r="E459" s="192"/>
      <c r="F459" s="192"/>
      <c r="G459" s="192"/>
      <c r="H459" s="24" t="e">
        <f>G459/D459</f>
        <v>#DIV/0!</v>
      </c>
      <c r="I459" s="231"/>
      <c r="J459" s="175"/>
      <c r="L459" s="3"/>
    </row>
    <row r="460" spans="1:12" s="176" customFormat="1" ht="25.5" customHeight="1" x14ac:dyDescent="0.25">
      <c r="A460" s="169"/>
      <c r="B460" s="190"/>
      <c r="C460" s="183"/>
      <c r="D460" s="192"/>
      <c r="E460" s="192"/>
      <c r="F460" s="192"/>
      <c r="G460" s="192"/>
      <c r="H460" s="24"/>
      <c r="I460" s="231"/>
      <c r="J460" s="175"/>
      <c r="L460" s="3"/>
    </row>
    <row r="461" spans="1:12" s="176" customFormat="1" ht="30.75" customHeight="1" thickBot="1" x14ac:dyDescent="0.3">
      <c r="A461" s="59"/>
      <c r="B461" s="60"/>
      <c r="C461" s="61" t="s">
        <v>249</v>
      </c>
      <c r="D461" s="62">
        <f>D11</f>
        <v>1383352224486.3301</v>
      </c>
      <c r="E461" s="62">
        <f>E11</f>
        <v>972038700448.88</v>
      </c>
      <c r="F461" s="62">
        <f t="shared" ref="F461:G461" si="162">F11</f>
        <v>151317419765.84</v>
      </c>
      <c r="G461" s="62">
        <f t="shared" si="162"/>
        <v>1123356120214.72</v>
      </c>
      <c r="H461" s="242">
        <f>G461/D461</f>
        <v>0.81205357560461322</v>
      </c>
      <c r="I461" s="234"/>
      <c r="J461" s="175"/>
      <c r="L461" s="3"/>
    </row>
    <row r="462" spans="1:12" s="176" customFormat="1" hidden="1" x14ac:dyDescent="0.25">
      <c r="A462" s="63"/>
      <c r="B462" s="64"/>
      <c r="C462" s="65"/>
      <c r="D462" s="66"/>
      <c r="E462" s="66"/>
      <c r="F462" s="66"/>
      <c r="G462" s="66"/>
      <c r="H462" s="66"/>
      <c r="I462" s="67" t="e">
        <f>SUM(F462/D462)</f>
        <v>#DIV/0!</v>
      </c>
      <c r="J462" s="175"/>
      <c r="L462" s="3"/>
    </row>
    <row r="463" spans="1:12" s="176" customFormat="1" hidden="1" x14ac:dyDescent="0.25">
      <c r="A463" s="68" t="s">
        <v>250</v>
      </c>
      <c r="B463" s="69" t="s">
        <v>46</v>
      </c>
      <c r="C463" s="70" t="s">
        <v>251</v>
      </c>
      <c r="D463" s="71" t="e">
        <f>SUM(#REF!-#REF!)</f>
        <v>#REF!</v>
      </c>
      <c r="E463" s="71"/>
      <c r="F463" s="71" t="e">
        <f>SUM(#REF!-#REF!)</f>
        <v>#REF!</v>
      </c>
      <c r="G463" s="71"/>
      <c r="H463" s="71"/>
      <c r="I463" s="72" t="e">
        <f>SUM(F463/#REF!)</f>
        <v>#REF!</v>
      </c>
      <c r="J463" s="175"/>
      <c r="L463" s="3"/>
    </row>
    <row r="464" spans="1:12" s="176" customFormat="1" hidden="1" x14ac:dyDescent="0.25">
      <c r="A464" s="68"/>
      <c r="B464" s="69" t="s">
        <v>252</v>
      </c>
      <c r="C464" s="70" t="s">
        <v>253</v>
      </c>
      <c r="D464" s="71" t="e">
        <f>SUM(#REF!-#REF!)</f>
        <v>#REF!</v>
      </c>
      <c r="E464" s="71"/>
      <c r="F464" s="71" t="e">
        <f>SUM(#REF!-#REF!)</f>
        <v>#REF!</v>
      </c>
      <c r="G464" s="71"/>
      <c r="H464" s="71"/>
      <c r="I464" s="72" t="e">
        <f>SUM(F464/#REF!)</f>
        <v>#REF!</v>
      </c>
      <c r="J464" s="175"/>
      <c r="L464" s="3"/>
    </row>
    <row r="465" spans="1:12" s="176" customFormat="1" hidden="1" x14ac:dyDescent="0.25">
      <c r="A465" s="68"/>
      <c r="B465" s="69" t="s">
        <v>254</v>
      </c>
      <c r="C465" s="70" t="s">
        <v>255</v>
      </c>
      <c r="D465" s="71" t="e">
        <f>SUM(#REF!-#REF!)</f>
        <v>#REF!</v>
      </c>
      <c r="E465" s="71"/>
      <c r="F465" s="71" t="e">
        <f>SUM(#REF!-#REF!)</f>
        <v>#REF!</v>
      </c>
      <c r="G465" s="71"/>
      <c r="H465" s="71"/>
      <c r="I465" s="72" t="e">
        <f>SUM(F465/#REF!)</f>
        <v>#REF!</v>
      </c>
      <c r="J465" s="175"/>
      <c r="L465" s="3"/>
    </row>
    <row r="466" spans="1:12" s="176" customFormat="1" hidden="1" x14ac:dyDescent="0.25">
      <c r="A466" s="68"/>
      <c r="B466" s="69" t="s">
        <v>256</v>
      </c>
      <c r="C466" s="70" t="s">
        <v>257</v>
      </c>
      <c r="D466" s="71" t="e">
        <f>SUM(#REF!-#REF!)</f>
        <v>#REF!</v>
      </c>
      <c r="E466" s="71"/>
      <c r="F466" s="71" t="e">
        <f>SUM(#REF!-#REF!)</f>
        <v>#REF!</v>
      </c>
      <c r="G466" s="71"/>
      <c r="H466" s="71"/>
      <c r="I466" s="72">
        <v>1</v>
      </c>
      <c r="J466" s="175"/>
      <c r="L466" s="3"/>
    </row>
    <row r="467" spans="1:12" s="176" customFormat="1" hidden="1" x14ac:dyDescent="0.25">
      <c r="A467" s="68"/>
      <c r="B467" s="69" t="s">
        <v>258</v>
      </c>
      <c r="C467" s="70" t="s">
        <v>259</v>
      </c>
      <c r="D467" s="71" t="e">
        <f>SUM(#REF!-#REF!)</f>
        <v>#REF!</v>
      </c>
      <c r="E467" s="71"/>
      <c r="F467" s="71" t="e">
        <f>SUM(#REF!-#REF!)</f>
        <v>#REF!</v>
      </c>
      <c r="G467" s="71"/>
      <c r="H467" s="71"/>
      <c r="I467" s="72">
        <v>1</v>
      </c>
      <c r="J467" s="175"/>
      <c r="L467" s="3"/>
    </row>
    <row r="468" spans="1:12" s="176" customFormat="1" hidden="1" x14ac:dyDescent="0.25">
      <c r="A468" s="68"/>
      <c r="B468" s="73" t="s">
        <v>260</v>
      </c>
      <c r="C468" s="74" t="s">
        <v>261</v>
      </c>
      <c r="D468" s="38" t="e">
        <f>SUM(#REF!-#REF!)</f>
        <v>#REF!</v>
      </c>
      <c r="E468" s="38"/>
      <c r="F468" s="38" t="e">
        <f>SUM(#REF!-#REF!)</f>
        <v>#REF!</v>
      </c>
      <c r="G468" s="38"/>
      <c r="H468" s="38"/>
      <c r="I468" s="75">
        <v>1</v>
      </c>
      <c r="J468" s="175"/>
      <c r="L468" s="3"/>
    </row>
    <row r="469" spans="1:12" s="176" customFormat="1" hidden="1" x14ac:dyDescent="0.25">
      <c r="A469" s="68"/>
      <c r="B469" s="76"/>
      <c r="C469" s="74" t="s">
        <v>262</v>
      </c>
      <c r="D469" s="38" t="e">
        <f>SUM(#REF!-#REF!)</f>
        <v>#REF!</v>
      </c>
      <c r="E469" s="38"/>
      <c r="F469" s="38" t="e">
        <f>SUM(#REF!-#REF!)</f>
        <v>#REF!</v>
      </c>
      <c r="G469" s="38"/>
      <c r="H469" s="38"/>
      <c r="I469" s="75">
        <v>1</v>
      </c>
      <c r="J469" s="175"/>
      <c r="L469" s="3"/>
    </row>
    <row r="470" spans="1:12" s="176" customFormat="1" ht="18" hidden="1" customHeight="1" x14ac:dyDescent="0.25">
      <c r="A470" s="68"/>
      <c r="B470" s="77"/>
      <c r="C470" s="78" t="s">
        <v>263</v>
      </c>
      <c r="D470" s="38" t="e">
        <f>SUM(#REF!-#REF!)</f>
        <v>#REF!</v>
      </c>
      <c r="E470" s="38"/>
      <c r="F470" s="38" t="e">
        <f>SUM(#REF!-#REF!)</f>
        <v>#REF!</v>
      </c>
      <c r="G470" s="38"/>
      <c r="H470" s="38"/>
      <c r="I470" s="72" t="e">
        <f>SUM(F470/#REF!)</f>
        <v>#REF!</v>
      </c>
      <c r="J470" s="175"/>
      <c r="L470" s="3"/>
    </row>
    <row r="471" spans="1:12" s="175" customFormat="1" x14ac:dyDescent="0.25">
      <c r="A471" s="1"/>
      <c r="B471" s="79"/>
      <c r="C471" s="386"/>
      <c r="D471" s="80"/>
      <c r="E471" s="80"/>
      <c r="F471" s="80"/>
      <c r="G471" s="80"/>
      <c r="H471" s="80"/>
      <c r="I471" s="386"/>
      <c r="L471" s="3"/>
    </row>
    <row r="472" spans="1:12" s="175" customFormat="1" x14ac:dyDescent="0.25">
      <c r="A472" s="1"/>
      <c r="B472" s="79"/>
      <c r="C472" s="386"/>
      <c r="D472" s="194"/>
      <c r="E472" s="194"/>
      <c r="F472" s="194"/>
      <c r="G472" s="194"/>
      <c r="H472" s="194"/>
      <c r="L472" s="3"/>
    </row>
    <row r="473" spans="1:12" s="175" customFormat="1" x14ac:dyDescent="0.25">
      <c r="A473" s="287" t="s">
        <v>628</v>
      </c>
      <c r="B473" s="288"/>
      <c r="C473" s="386"/>
      <c r="G473" s="291" t="s">
        <v>723</v>
      </c>
      <c r="H473" s="194"/>
      <c r="L473" s="3"/>
    </row>
    <row r="474" spans="1:12" s="175" customFormat="1" x14ac:dyDescent="0.25">
      <c r="A474" s="1"/>
      <c r="B474" s="79"/>
      <c r="C474" s="386"/>
      <c r="G474" s="291" t="s">
        <v>630</v>
      </c>
      <c r="H474" s="201"/>
      <c r="L474" s="3"/>
    </row>
    <row r="475" spans="1:12" s="175" customFormat="1" x14ac:dyDescent="0.25">
      <c r="A475" s="1"/>
      <c r="B475" s="79"/>
      <c r="C475" s="386"/>
      <c r="G475" s="291"/>
      <c r="H475" s="195"/>
      <c r="L475" s="3"/>
    </row>
    <row r="476" spans="1:12" s="175" customFormat="1" x14ac:dyDescent="0.25">
      <c r="A476" s="1"/>
      <c r="B476" s="79"/>
      <c r="C476" s="386"/>
      <c r="G476" s="291"/>
      <c r="H476" s="195"/>
      <c r="L476" s="3"/>
    </row>
    <row r="477" spans="1:12" s="175" customFormat="1" x14ac:dyDescent="0.25">
      <c r="A477" s="1"/>
      <c r="B477" s="79"/>
      <c r="C477" s="386"/>
      <c r="G477" s="291"/>
      <c r="H477" s="195"/>
      <c r="L477" s="3"/>
    </row>
    <row r="478" spans="1:12" s="175" customFormat="1" x14ac:dyDescent="0.25">
      <c r="A478" s="1"/>
      <c r="B478" s="79"/>
      <c r="C478" s="386"/>
      <c r="G478" s="292" t="s">
        <v>579</v>
      </c>
      <c r="H478" s="195"/>
      <c r="L478" s="3"/>
    </row>
    <row r="479" spans="1:12" s="175" customFormat="1" x14ac:dyDescent="0.25">
      <c r="A479" s="1"/>
      <c r="B479" s="79"/>
      <c r="C479" s="386"/>
      <c r="G479" s="291" t="s">
        <v>577</v>
      </c>
      <c r="H479" s="201"/>
      <c r="L479" s="3"/>
    </row>
    <row r="480" spans="1:12" x14ac:dyDescent="0.25">
      <c r="G480" s="291" t="s">
        <v>576</v>
      </c>
    </row>
  </sheetData>
  <mergeCells count="11">
    <mergeCell ref="I7:I8"/>
    <mergeCell ref="B2:C2"/>
    <mergeCell ref="B3:C3"/>
    <mergeCell ref="B4:C4"/>
    <mergeCell ref="B5:C5"/>
    <mergeCell ref="F6:H6"/>
    <mergeCell ref="A7:A8"/>
    <mergeCell ref="B7:B8"/>
    <mergeCell ref="C7:C8"/>
    <mergeCell ref="E7:G7"/>
    <mergeCell ref="H7:H8"/>
  </mergeCells>
  <pageMargins left="0.59" right="0.15748031496062992" top="1.27" bottom="0.47244094488188981" header="0.39370078740157483" footer="0.23622047244094491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</sheetPr>
  <dimension ref="A2:M62"/>
  <sheetViews>
    <sheetView zoomScale="79" zoomScaleNormal="79" workbookViewId="0">
      <selection activeCell="K17" sqref="K17"/>
    </sheetView>
  </sheetViews>
  <sheetFormatPr defaultColWidth="9.28515625" defaultRowHeight="13.15" customHeight="1" x14ac:dyDescent="0.25"/>
  <cols>
    <col min="1" max="1" width="6.7109375" style="113" customWidth="1"/>
    <col min="2" max="2" width="16.140625" style="113" customWidth="1"/>
    <col min="3" max="3" width="56" style="81" customWidth="1"/>
    <col min="4" max="4" width="29.5703125" style="81" customWidth="1"/>
    <col min="5" max="5" width="29.140625" style="81" customWidth="1"/>
    <col min="6" max="6" width="28.42578125" style="81" customWidth="1"/>
    <col min="7" max="7" width="28.85546875" style="81" customWidth="1"/>
    <col min="8" max="8" width="12.85546875" style="81" bestFit="1" customWidth="1"/>
    <col min="9" max="9" width="27.5703125" style="271" bestFit="1" customWidth="1"/>
    <col min="10" max="10" width="33" style="271" customWidth="1"/>
    <col min="11" max="11" width="26.42578125" style="81" bestFit="1" customWidth="1"/>
    <col min="12" max="12" width="9.28515625" style="81"/>
    <col min="13" max="13" width="23.5703125" style="81" customWidth="1"/>
    <col min="14" max="30" width="9.28515625" style="81" customWidth="1"/>
    <col min="31" max="16384" width="9.28515625" style="81"/>
  </cols>
  <sheetData>
    <row r="2" spans="1:13" ht="17.25" customHeight="1" x14ac:dyDescent="0.25">
      <c r="B2" s="452" t="s">
        <v>0</v>
      </c>
      <c r="C2" s="452"/>
      <c r="D2" s="452"/>
      <c r="E2" s="5" t="s">
        <v>486</v>
      </c>
      <c r="F2" s="5"/>
      <c r="G2" s="175"/>
      <c r="H2" s="175"/>
    </row>
    <row r="3" spans="1:13" ht="17.25" customHeight="1" x14ac:dyDescent="0.25">
      <c r="B3" s="445" t="s">
        <v>480</v>
      </c>
      <c r="C3" s="445"/>
      <c r="D3" s="445"/>
      <c r="E3" s="5" t="s">
        <v>631</v>
      </c>
      <c r="F3" s="5"/>
      <c r="G3" s="175"/>
      <c r="H3" s="175"/>
    </row>
    <row r="4" spans="1:13" ht="23.25" customHeight="1" x14ac:dyDescent="0.25">
      <c r="B4" s="453" t="s">
        <v>481</v>
      </c>
      <c r="C4" s="453"/>
      <c r="D4" s="453"/>
      <c r="E4" s="6" t="s">
        <v>479</v>
      </c>
      <c r="F4" s="6"/>
      <c r="G4" s="175"/>
      <c r="H4" s="175"/>
    </row>
    <row r="5" spans="1:13" ht="23.25" customHeight="1" x14ac:dyDescent="0.25">
      <c r="B5" s="453"/>
      <c r="C5" s="453"/>
      <c r="D5" s="6"/>
      <c r="E5" s="6"/>
      <c r="F5" s="175"/>
      <c r="G5" s="175"/>
      <c r="H5" s="175"/>
    </row>
    <row r="6" spans="1:13" ht="21" customHeight="1" x14ac:dyDescent="0.25">
      <c r="B6" s="283"/>
      <c r="C6" s="283"/>
      <c r="D6" s="7"/>
      <c r="E6" s="7"/>
      <c r="F6" s="449"/>
      <c r="G6" s="449"/>
      <c r="H6" s="449"/>
    </row>
    <row r="7" spans="1:13" ht="21" customHeight="1" thickBot="1" x14ac:dyDescent="0.3">
      <c r="B7" s="283"/>
      <c r="C7" s="283"/>
      <c r="D7" s="7"/>
      <c r="E7" s="7"/>
      <c r="F7" s="449"/>
      <c r="G7" s="449"/>
      <c r="H7" s="449"/>
    </row>
    <row r="8" spans="1:13" s="83" customFormat="1" ht="23.25" customHeight="1" x14ac:dyDescent="0.25">
      <c r="A8" s="435" t="s">
        <v>2</v>
      </c>
      <c r="B8" s="437" t="s">
        <v>3</v>
      </c>
      <c r="C8" s="437" t="s">
        <v>4</v>
      </c>
      <c r="D8" s="202" t="s">
        <v>5</v>
      </c>
      <c r="E8" s="441" t="s">
        <v>475</v>
      </c>
      <c r="F8" s="441"/>
      <c r="G8" s="441"/>
      <c r="H8" s="454" t="s">
        <v>6</v>
      </c>
      <c r="I8" s="272"/>
      <c r="J8" s="272"/>
    </row>
    <row r="9" spans="1:13" s="83" customFormat="1" ht="23.25" customHeight="1" x14ac:dyDescent="0.25">
      <c r="A9" s="436"/>
      <c r="B9" s="438"/>
      <c r="C9" s="438"/>
      <c r="D9" s="203" t="s">
        <v>632</v>
      </c>
      <c r="E9" s="251" t="s">
        <v>476</v>
      </c>
      <c r="F9" s="251" t="s">
        <v>477</v>
      </c>
      <c r="G9" s="251" t="s">
        <v>478</v>
      </c>
      <c r="H9" s="455"/>
      <c r="I9" s="272"/>
      <c r="J9" s="272"/>
    </row>
    <row r="10" spans="1:13" ht="15.75" customHeight="1" x14ac:dyDescent="0.25">
      <c r="A10" s="11">
        <v>1</v>
      </c>
      <c r="B10" s="12">
        <v>2</v>
      </c>
      <c r="C10" s="13">
        <v>3</v>
      </c>
      <c r="D10" s="14">
        <v>4</v>
      </c>
      <c r="E10" s="14">
        <v>5</v>
      </c>
      <c r="F10" s="14">
        <v>6</v>
      </c>
      <c r="G10" s="15" t="s">
        <v>582</v>
      </c>
      <c r="H10" s="235" t="s">
        <v>583</v>
      </c>
    </row>
    <row r="11" spans="1:13" ht="20.25" customHeight="1" x14ac:dyDescent="0.25">
      <c r="A11" s="318"/>
      <c r="B11" s="199" t="s">
        <v>473</v>
      </c>
      <c r="C11" s="200" t="s">
        <v>9</v>
      </c>
      <c r="D11" s="275">
        <f>D36</f>
        <v>1141467482471</v>
      </c>
      <c r="E11" s="275">
        <f t="shared" ref="E11:G11" si="0">E36</f>
        <v>0</v>
      </c>
      <c r="F11" s="275">
        <f t="shared" si="0"/>
        <v>88000958539.350006</v>
      </c>
      <c r="G11" s="275">
        <f t="shared" si="0"/>
        <v>88000958539.350006</v>
      </c>
      <c r="H11" s="276">
        <f>G11/D11</f>
        <v>7.7094582097817888E-2</v>
      </c>
      <c r="K11" s="271"/>
    </row>
    <row r="12" spans="1:13" ht="20.25" customHeight="1" x14ac:dyDescent="0.25">
      <c r="A12" s="149" t="s">
        <v>426</v>
      </c>
      <c r="B12" s="150" t="s">
        <v>11</v>
      </c>
      <c r="C12" s="151" t="s">
        <v>443</v>
      </c>
      <c r="D12" s="152">
        <f>SUM(D13+D14+D18+D19)</f>
        <v>392981073390</v>
      </c>
      <c r="E12" s="152">
        <f t="shared" ref="E12:G12" si="1">SUM(E13+E14+E18+E19)</f>
        <v>0</v>
      </c>
      <c r="F12" s="152">
        <f t="shared" si="1"/>
        <v>16803871439.349998</v>
      </c>
      <c r="G12" s="152">
        <f t="shared" si="1"/>
        <v>16803871439.349998</v>
      </c>
      <c r="H12" s="243">
        <f>G12/D12</f>
        <v>4.2760001886079632E-2</v>
      </c>
      <c r="K12" s="271"/>
    </row>
    <row r="13" spans="1:13" ht="20.25" customHeight="1" x14ac:dyDescent="0.25">
      <c r="A13" s="319" t="s">
        <v>19</v>
      </c>
      <c r="B13" s="256" t="s">
        <v>345</v>
      </c>
      <c r="C13" s="265" t="s">
        <v>264</v>
      </c>
      <c r="D13" s="258">
        <v>197002700000</v>
      </c>
      <c r="E13" s="258"/>
      <c r="F13" s="258">
        <f>'Realisasi Januari'!F13</f>
        <v>6681967943</v>
      </c>
      <c r="G13" s="258">
        <f>E13+F13</f>
        <v>6681967943</v>
      </c>
      <c r="H13" s="259">
        <f t="shared" ref="H13:H35" si="2">G13/D13</f>
        <v>3.3918154131897686E-2</v>
      </c>
      <c r="J13" s="282" t="s">
        <v>629</v>
      </c>
      <c r="M13" s="90"/>
    </row>
    <row r="14" spans="1:13" ht="20.25" customHeight="1" x14ac:dyDescent="0.25">
      <c r="A14" s="320" t="s">
        <v>39</v>
      </c>
      <c r="B14" s="266" t="s">
        <v>346</v>
      </c>
      <c r="C14" s="267" t="s">
        <v>265</v>
      </c>
      <c r="D14" s="268">
        <f>SUM(D15:D17)</f>
        <v>47985440000</v>
      </c>
      <c r="E14" s="268">
        <f t="shared" ref="E14:G14" si="3">SUM(E15:E17)</f>
        <v>0</v>
      </c>
      <c r="F14" s="268">
        <f t="shared" si="3"/>
        <v>1843589550</v>
      </c>
      <c r="G14" s="268">
        <f t="shared" si="3"/>
        <v>1843589550</v>
      </c>
      <c r="H14" s="269">
        <f t="shared" si="2"/>
        <v>3.8419769621785275E-2</v>
      </c>
      <c r="M14" s="90"/>
    </row>
    <row r="15" spans="1:13" ht="20.25" customHeight="1" x14ac:dyDescent="0.25">
      <c r="A15" s="321"/>
      <c r="B15" s="86" t="s">
        <v>288</v>
      </c>
      <c r="C15" s="87" t="s">
        <v>55</v>
      </c>
      <c r="D15" s="88">
        <v>4579475000</v>
      </c>
      <c r="E15" s="88"/>
      <c r="F15" s="88">
        <f>'Realisasi Januari'!F30+'Realisasi Januari'!F53+'Realisasi Januari'!F58+'Realisasi Januari'!F92</f>
        <v>142897800</v>
      </c>
      <c r="G15" s="88">
        <f>E15+F15</f>
        <v>142897800</v>
      </c>
      <c r="H15" s="245">
        <f t="shared" si="2"/>
        <v>3.1203969887377919E-2</v>
      </c>
      <c r="M15" s="90"/>
    </row>
    <row r="16" spans="1:13" ht="20.25" customHeight="1" x14ac:dyDescent="0.25">
      <c r="A16" s="321"/>
      <c r="B16" s="86" t="s">
        <v>285</v>
      </c>
      <c r="C16" s="87" t="s">
        <v>444</v>
      </c>
      <c r="D16" s="88">
        <v>28403965000</v>
      </c>
      <c r="E16" s="88"/>
      <c r="F16" s="88">
        <f>'Realisasi Januari'!F41+'Realisasi Januari'!F48+'Realisasi Januari'!F63+'Realisasi Januari'!F75+'Realisasi Januari'!F87</f>
        <v>1700691750</v>
      </c>
      <c r="G16" s="88">
        <f t="shared" ref="G16:G19" si="4">E16+F16</f>
        <v>1700691750</v>
      </c>
      <c r="H16" s="245">
        <f t="shared" si="2"/>
        <v>5.9875152993604942E-2</v>
      </c>
      <c r="M16" s="90"/>
    </row>
    <row r="17" spans="1:13" ht="20.25" customHeight="1" x14ac:dyDescent="0.25">
      <c r="A17" s="321"/>
      <c r="B17" s="86" t="s">
        <v>298</v>
      </c>
      <c r="C17" s="87" t="s">
        <v>60</v>
      </c>
      <c r="D17" s="88">
        <v>15002000000</v>
      </c>
      <c r="E17" s="88"/>
      <c r="F17" s="88">
        <f>'Realisasi Januari'!F70+'Realisasi Januari'!F80</f>
        <v>0</v>
      </c>
      <c r="G17" s="88">
        <f t="shared" si="4"/>
        <v>0</v>
      </c>
      <c r="H17" s="245">
        <f t="shared" si="2"/>
        <v>0</v>
      </c>
      <c r="M17" s="90"/>
    </row>
    <row r="18" spans="1:13" ht="31.5" customHeight="1" x14ac:dyDescent="0.25">
      <c r="A18" s="320" t="s">
        <v>46</v>
      </c>
      <c r="B18" s="256" t="s">
        <v>347</v>
      </c>
      <c r="C18" s="257" t="s">
        <v>266</v>
      </c>
      <c r="D18" s="258">
        <v>1663748324</v>
      </c>
      <c r="E18" s="260"/>
      <c r="F18" s="258">
        <f>'Realisasi Januari'!F96</f>
        <v>0</v>
      </c>
      <c r="G18" s="260">
        <f t="shared" si="4"/>
        <v>0</v>
      </c>
      <c r="H18" s="259">
        <f t="shared" si="2"/>
        <v>0</v>
      </c>
      <c r="I18" s="273"/>
      <c r="M18" s="90"/>
    </row>
    <row r="19" spans="1:13" ht="20.25" customHeight="1" x14ac:dyDescent="0.25">
      <c r="A19" s="322" t="s">
        <v>8</v>
      </c>
      <c r="B19" s="266" t="s">
        <v>348</v>
      </c>
      <c r="C19" s="267" t="s">
        <v>96</v>
      </c>
      <c r="D19" s="268">
        <v>146329185066</v>
      </c>
      <c r="E19" s="260"/>
      <c r="F19" s="268">
        <f>'Realisasi Januari'!F102</f>
        <v>8278313946.3499994</v>
      </c>
      <c r="G19" s="260">
        <f t="shared" si="4"/>
        <v>8278313946.3499994</v>
      </c>
      <c r="H19" s="269">
        <f t="shared" si="2"/>
        <v>5.657322524290808E-2</v>
      </c>
      <c r="M19" s="90"/>
    </row>
    <row r="20" spans="1:13" ht="20.25" customHeight="1" x14ac:dyDescent="0.25">
      <c r="A20" s="149" t="s">
        <v>163</v>
      </c>
      <c r="B20" s="150" t="s">
        <v>164</v>
      </c>
      <c r="C20" s="151" t="s">
        <v>268</v>
      </c>
      <c r="D20" s="155">
        <f>SUM(D21+D28)</f>
        <v>748486409081</v>
      </c>
      <c r="E20" s="155">
        <f t="shared" ref="E20:G20" si="5">SUM(E21+E28)</f>
        <v>0</v>
      </c>
      <c r="F20" s="155">
        <f>SUM(F21+F28)</f>
        <v>71197087100</v>
      </c>
      <c r="G20" s="155">
        <f t="shared" si="5"/>
        <v>71197087100</v>
      </c>
      <c r="H20" s="243">
        <f t="shared" si="2"/>
        <v>9.5121416015310933E-2</v>
      </c>
    </row>
    <row r="21" spans="1:13" ht="20.25" customHeight="1" x14ac:dyDescent="0.25">
      <c r="A21" s="156" t="s">
        <v>416</v>
      </c>
      <c r="B21" s="157" t="s">
        <v>350</v>
      </c>
      <c r="C21" s="158" t="s">
        <v>351</v>
      </c>
      <c r="D21" s="159">
        <f>SUM(D22+D27)</f>
        <v>643257080000</v>
      </c>
      <c r="E21" s="159">
        <f t="shared" ref="E21:G21" si="6">SUM(E22+E27)</f>
        <v>0</v>
      </c>
      <c r="F21" s="159">
        <f t="shared" si="6"/>
        <v>71197087100</v>
      </c>
      <c r="G21" s="159">
        <f t="shared" si="6"/>
        <v>71197087100</v>
      </c>
      <c r="H21" s="246">
        <f t="shared" si="2"/>
        <v>0.11068216629656062</v>
      </c>
    </row>
    <row r="22" spans="1:13" ht="20.25" customHeight="1" x14ac:dyDescent="0.25">
      <c r="A22" s="160" t="s">
        <v>89</v>
      </c>
      <c r="B22" s="161" t="s">
        <v>352</v>
      </c>
      <c r="C22" s="162" t="s">
        <v>435</v>
      </c>
      <c r="D22" s="163">
        <f>SUM(D23:D26)</f>
        <v>643257080000</v>
      </c>
      <c r="E22" s="163">
        <f t="shared" ref="E22:G22" si="7">SUM(E23:E26)</f>
        <v>0</v>
      </c>
      <c r="F22" s="163">
        <f>SUM(F23:F26)</f>
        <v>71197087100</v>
      </c>
      <c r="G22" s="163">
        <f t="shared" si="7"/>
        <v>71197087100</v>
      </c>
      <c r="H22" s="247">
        <f t="shared" si="2"/>
        <v>0.11068216629656062</v>
      </c>
    </row>
    <row r="23" spans="1:13" ht="20.25" customHeight="1" x14ac:dyDescent="0.25">
      <c r="A23" s="323" t="s">
        <v>13</v>
      </c>
      <c r="B23" s="147" t="s">
        <v>353</v>
      </c>
      <c r="C23" s="148" t="s">
        <v>354</v>
      </c>
      <c r="D23" s="173">
        <v>154499794000</v>
      </c>
      <c r="E23" s="173"/>
      <c r="F23" s="173">
        <f>'Realisasi Januari'!F228</f>
        <v>588547100</v>
      </c>
      <c r="G23" s="173">
        <f>E23+F23</f>
        <v>588547100</v>
      </c>
      <c r="H23" s="244">
        <f t="shared" si="2"/>
        <v>3.8093714222039673E-3</v>
      </c>
    </row>
    <row r="24" spans="1:13" ht="20.25" customHeight="1" x14ac:dyDescent="0.25">
      <c r="A24" s="85" t="s">
        <v>16</v>
      </c>
      <c r="B24" s="86" t="s">
        <v>368</v>
      </c>
      <c r="C24" s="87" t="s">
        <v>436</v>
      </c>
      <c r="D24" s="88">
        <v>429554051000</v>
      </c>
      <c r="E24" s="173"/>
      <c r="F24" s="88">
        <f>'Realisasi Januari'!F293</f>
        <v>70608540000</v>
      </c>
      <c r="G24" s="173">
        <f t="shared" ref="G24:G26" si="8">E24+F24</f>
        <v>70608540000</v>
      </c>
      <c r="H24" s="248">
        <f t="shared" si="2"/>
        <v>0.16437638019155826</v>
      </c>
    </row>
    <row r="25" spans="1:13" ht="20.25" customHeight="1" x14ac:dyDescent="0.25">
      <c r="A25" s="85" t="s">
        <v>86</v>
      </c>
      <c r="B25" s="86" t="s">
        <v>370</v>
      </c>
      <c r="C25" s="87" t="s">
        <v>437</v>
      </c>
      <c r="D25" s="88">
        <v>7340205000</v>
      </c>
      <c r="E25" s="173"/>
      <c r="F25" s="88">
        <f>'Realisasi Januari'!F295</f>
        <v>0</v>
      </c>
      <c r="G25" s="173">
        <f t="shared" si="8"/>
        <v>0</v>
      </c>
      <c r="H25" s="248">
        <f t="shared" si="2"/>
        <v>0</v>
      </c>
    </row>
    <row r="26" spans="1:13" ht="20.25" customHeight="1" x14ac:dyDescent="0.25">
      <c r="A26" s="91" t="s">
        <v>95</v>
      </c>
      <c r="B26" s="153" t="s">
        <v>384</v>
      </c>
      <c r="C26" s="154" t="s">
        <v>438</v>
      </c>
      <c r="D26" s="174">
        <v>51863030000</v>
      </c>
      <c r="E26" s="173"/>
      <c r="F26" s="174">
        <f>'Realisasi Januari'!F363</f>
        <v>0</v>
      </c>
      <c r="G26" s="173">
        <f t="shared" si="8"/>
        <v>0</v>
      </c>
      <c r="H26" s="245">
        <f t="shared" si="2"/>
        <v>0</v>
      </c>
    </row>
    <row r="27" spans="1:13" ht="20.25" customHeight="1" x14ac:dyDescent="0.25">
      <c r="A27" s="160" t="s">
        <v>91</v>
      </c>
      <c r="B27" s="161" t="s">
        <v>396</v>
      </c>
      <c r="C27" s="162" t="s">
        <v>439</v>
      </c>
      <c r="D27" s="163">
        <v>0</v>
      </c>
      <c r="E27" s="163"/>
      <c r="F27" s="163">
        <f>'Realisasi Januari'!F408</f>
        <v>0</v>
      </c>
      <c r="G27" s="163">
        <f>E27+F27</f>
        <v>0</v>
      </c>
      <c r="H27" s="247" t="e">
        <f t="shared" si="2"/>
        <v>#DIV/0!</v>
      </c>
    </row>
    <row r="28" spans="1:13" ht="20.25" customHeight="1" x14ac:dyDescent="0.25">
      <c r="A28" s="156" t="s">
        <v>440</v>
      </c>
      <c r="B28" s="157" t="s">
        <v>398</v>
      </c>
      <c r="C28" s="158" t="s">
        <v>399</v>
      </c>
      <c r="D28" s="159">
        <f>SUM(D29:D30)</f>
        <v>105229329081</v>
      </c>
      <c r="E28" s="159">
        <f t="shared" ref="E28:F28" si="9">SUM(E29:E30)</f>
        <v>0</v>
      </c>
      <c r="F28" s="159">
        <f t="shared" si="9"/>
        <v>0</v>
      </c>
      <c r="G28" s="159">
        <f>E28+F28</f>
        <v>0</v>
      </c>
      <c r="H28" s="246">
        <f t="shared" si="2"/>
        <v>0</v>
      </c>
    </row>
    <row r="29" spans="1:13" ht="20.25" customHeight="1" x14ac:dyDescent="0.25">
      <c r="A29" s="323" t="s">
        <v>89</v>
      </c>
      <c r="B29" s="147" t="s">
        <v>400</v>
      </c>
      <c r="C29" s="148" t="s">
        <v>403</v>
      </c>
      <c r="D29" s="173">
        <v>105229329081</v>
      </c>
      <c r="E29" s="173"/>
      <c r="F29" s="173">
        <f>'Realisasi Januari'!F416</f>
        <v>0</v>
      </c>
      <c r="G29" s="173">
        <f>E29+F29</f>
        <v>0</v>
      </c>
      <c r="H29" s="244">
        <f t="shared" si="2"/>
        <v>0</v>
      </c>
    </row>
    <row r="30" spans="1:13" ht="20.25" customHeight="1" x14ac:dyDescent="0.25">
      <c r="A30" s="91" t="s">
        <v>91</v>
      </c>
      <c r="B30" s="153" t="s">
        <v>425</v>
      </c>
      <c r="C30" s="154" t="s">
        <v>427</v>
      </c>
      <c r="D30" s="174">
        <v>0</v>
      </c>
      <c r="E30" s="173"/>
      <c r="F30" s="174">
        <f>'Realisasi Januari'!F429</f>
        <v>0</v>
      </c>
      <c r="G30" s="173">
        <f>E30+F30</f>
        <v>0</v>
      </c>
      <c r="H30" s="244" t="e">
        <f t="shared" si="2"/>
        <v>#DIV/0!</v>
      </c>
    </row>
    <row r="31" spans="1:13" ht="20.25" customHeight="1" x14ac:dyDescent="0.25">
      <c r="A31" s="149" t="s">
        <v>241</v>
      </c>
      <c r="B31" s="150" t="s">
        <v>242</v>
      </c>
      <c r="C31" s="151" t="s">
        <v>243</v>
      </c>
      <c r="D31" s="155">
        <f t="shared" ref="D31:G33" si="10">D32</f>
        <v>0</v>
      </c>
      <c r="E31" s="155">
        <f t="shared" si="10"/>
        <v>0</v>
      </c>
      <c r="F31" s="155">
        <f t="shared" si="10"/>
        <v>0</v>
      </c>
      <c r="G31" s="155">
        <f t="shared" si="10"/>
        <v>0</v>
      </c>
      <c r="H31" s="243" t="e">
        <f t="shared" si="2"/>
        <v>#DIV/0!</v>
      </c>
    </row>
    <row r="32" spans="1:13" ht="34.5" customHeight="1" x14ac:dyDescent="0.25">
      <c r="A32" s="84"/>
      <c r="B32" s="147" t="s">
        <v>418</v>
      </c>
      <c r="C32" s="250" t="s">
        <v>441</v>
      </c>
      <c r="D32" s="258">
        <f>D33</f>
        <v>0</v>
      </c>
      <c r="E32" s="173"/>
      <c r="F32" s="173">
        <f t="shared" si="10"/>
        <v>0</v>
      </c>
      <c r="G32" s="173">
        <f>E32+F32</f>
        <v>0</v>
      </c>
      <c r="H32" s="259" t="e">
        <f t="shared" si="2"/>
        <v>#DIV/0!</v>
      </c>
    </row>
    <row r="33" spans="1:10" ht="20.25" customHeight="1" x14ac:dyDescent="0.25">
      <c r="A33" s="85"/>
      <c r="B33" s="86" t="s">
        <v>420</v>
      </c>
      <c r="C33" s="87" t="s">
        <v>442</v>
      </c>
      <c r="D33" s="260">
        <f t="shared" si="10"/>
        <v>0</v>
      </c>
      <c r="E33" s="173"/>
      <c r="F33" s="88">
        <f t="shared" si="10"/>
        <v>0</v>
      </c>
      <c r="G33" s="173">
        <f t="shared" ref="G33" si="11">E33+F33</f>
        <v>0</v>
      </c>
      <c r="H33" s="261" t="e">
        <f t="shared" si="2"/>
        <v>#DIV/0!</v>
      </c>
    </row>
    <row r="34" spans="1:10" ht="20.25" customHeight="1" x14ac:dyDescent="0.25">
      <c r="A34" s="91" t="s">
        <v>89</v>
      </c>
      <c r="B34" s="86" t="s">
        <v>422</v>
      </c>
      <c r="C34" s="87" t="s">
        <v>423</v>
      </c>
      <c r="D34" s="164">
        <v>0</v>
      </c>
      <c r="E34" s="173"/>
      <c r="F34" s="174">
        <f>'Realisasi Januari'!F439</f>
        <v>0</v>
      </c>
      <c r="G34" s="173">
        <f>F34</f>
        <v>0</v>
      </c>
      <c r="H34" s="248" t="e">
        <f t="shared" si="2"/>
        <v>#DIV/0!</v>
      </c>
    </row>
    <row r="35" spans="1:10" ht="20.25" customHeight="1" thickBot="1" x14ac:dyDescent="0.3">
      <c r="A35" s="91" t="s">
        <v>91</v>
      </c>
      <c r="B35" s="86" t="s">
        <v>618</v>
      </c>
      <c r="C35" s="87" t="s">
        <v>620</v>
      </c>
      <c r="D35" s="164">
        <v>0</v>
      </c>
      <c r="E35" s="173">
        <v>0</v>
      </c>
      <c r="F35" s="174"/>
      <c r="G35" s="173">
        <f>F35</f>
        <v>0</v>
      </c>
      <c r="H35" s="286" t="e">
        <f t="shared" si="2"/>
        <v>#DIV/0!</v>
      </c>
    </row>
    <row r="36" spans="1:10" s="82" customFormat="1" ht="21.75" customHeight="1" thickBot="1" x14ac:dyDescent="0.3">
      <c r="A36" s="143"/>
      <c r="B36" s="144"/>
      <c r="C36" s="145" t="s">
        <v>472</v>
      </c>
      <c r="D36" s="146">
        <f>SUM(D12+D20+D31)</f>
        <v>1141467482471</v>
      </c>
      <c r="E36" s="146">
        <f t="shared" ref="E36:G36" si="12">SUM(E12+E20+E31)</f>
        <v>0</v>
      </c>
      <c r="F36" s="146">
        <f t="shared" si="12"/>
        <v>88000958539.350006</v>
      </c>
      <c r="G36" s="146">
        <f t="shared" si="12"/>
        <v>88000958539.350006</v>
      </c>
      <c r="H36" s="249">
        <f>G36/D36</f>
        <v>7.7094582097817888E-2</v>
      </c>
      <c r="I36" s="274"/>
      <c r="J36" s="274"/>
    </row>
    <row r="37" spans="1:10" ht="20.25" hidden="1" customHeight="1" x14ac:dyDescent="0.25">
      <c r="A37" s="92" t="s">
        <v>95</v>
      </c>
      <c r="B37" s="93" t="s">
        <v>46</v>
      </c>
      <c r="C37" s="94" t="s">
        <v>251</v>
      </c>
      <c r="D37" s="95">
        <v>102132456348.7</v>
      </c>
      <c r="E37" s="173"/>
      <c r="F37" s="88" t="e">
        <f>D37-#REF!</f>
        <v>#REF!</v>
      </c>
      <c r="G37" s="173"/>
      <c r="H37" s="96" t="e">
        <f>SUM(F37/#REF!)</f>
        <v>#REF!</v>
      </c>
    </row>
    <row r="38" spans="1:10" ht="20.25" hidden="1" customHeight="1" x14ac:dyDescent="0.25">
      <c r="A38" s="85"/>
      <c r="B38" s="97" t="s">
        <v>252</v>
      </c>
      <c r="C38" s="98" t="s">
        <v>253</v>
      </c>
      <c r="D38" s="88">
        <v>102132456348.7</v>
      </c>
      <c r="E38" s="88"/>
      <c r="F38" s="88" t="e">
        <f>D38-#REF!</f>
        <v>#REF!</v>
      </c>
      <c r="G38" s="88"/>
      <c r="H38" s="89" t="e">
        <f>SUM(F38/#REF!)</f>
        <v>#REF!</v>
      </c>
    </row>
    <row r="39" spans="1:10" ht="20.25" hidden="1" customHeight="1" x14ac:dyDescent="0.25">
      <c r="A39" s="85"/>
      <c r="B39" s="99" t="s">
        <v>254</v>
      </c>
      <c r="C39" s="100" t="s">
        <v>255</v>
      </c>
      <c r="D39" s="88">
        <v>95076456348.699997</v>
      </c>
      <c r="E39" s="88"/>
      <c r="F39" s="88" t="e">
        <f>D39-#REF!</f>
        <v>#REF!</v>
      </c>
      <c r="G39" s="88"/>
      <c r="H39" s="89" t="e">
        <f>SUM(F39/#REF!)</f>
        <v>#REF!</v>
      </c>
    </row>
    <row r="40" spans="1:10" ht="20.25" hidden="1" customHeight="1" x14ac:dyDescent="0.25">
      <c r="A40" s="85"/>
      <c r="B40" s="99" t="s">
        <v>256</v>
      </c>
      <c r="C40" s="100" t="s">
        <v>257</v>
      </c>
      <c r="D40" s="88">
        <v>7056000000</v>
      </c>
      <c r="E40" s="88"/>
      <c r="F40" s="88" t="e">
        <f>D40-#REF!</f>
        <v>#REF!</v>
      </c>
      <c r="G40" s="88"/>
      <c r="H40" s="89">
        <v>1</v>
      </c>
    </row>
    <row r="41" spans="1:10" ht="20.25" hidden="1" customHeight="1" x14ac:dyDescent="0.25">
      <c r="A41" s="101"/>
      <c r="B41" s="102" t="s">
        <v>258</v>
      </c>
      <c r="C41" s="103" t="s">
        <v>259</v>
      </c>
      <c r="D41" s="104">
        <v>7056000000</v>
      </c>
      <c r="E41" s="174"/>
      <c r="F41" s="88" t="e">
        <f>D41-#REF!</f>
        <v>#REF!</v>
      </c>
      <c r="G41" s="174"/>
      <c r="H41" s="105">
        <v>1</v>
      </c>
    </row>
    <row r="42" spans="1:10" ht="26.25" hidden="1" customHeight="1" x14ac:dyDescent="0.25">
      <c r="A42" s="450" t="s">
        <v>263</v>
      </c>
      <c r="B42" s="451"/>
      <c r="C42" s="451"/>
      <c r="D42" s="106">
        <f>SUM(D37+D36)</f>
        <v>1243599938819.7</v>
      </c>
      <c r="E42" s="106"/>
      <c r="F42" s="106" t="e">
        <f>SUM(F37+F36)</f>
        <v>#REF!</v>
      </c>
      <c r="G42" s="106"/>
      <c r="H42" s="107" t="e">
        <f>SUM(F42/#REF!)</f>
        <v>#REF!</v>
      </c>
    </row>
    <row r="43" spans="1:10" ht="26.25" customHeight="1" x14ac:dyDescent="0.25">
      <c r="A43" s="108"/>
      <c r="B43" s="198"/>
      <c r="C43" s="197"/>
      <c r="D43" s="110"/>
      <c r="E43" s="110"/>
      <c r="F43" s="110"/>
      <c r="G43" s="110"/>
      <c r="H43" s="111"/>
    </row>
    <row r="44" spans="1:10" ht="21" customHeight="1" x14ac:dyDescent="0.25">
      <c r="A44" s="324"/>
      <c r="B44" s="283"/>
      <c r="C44" s="109"/>
      <c r="D44" s="112"/>
      <c r="E44" s="112"/>
      <c r="F44" s="284"/>
      <c r="G44" s="284" t="s">
        <v>640</v>
      </c>
      <c r="H44" s="113"/>
    </row>
    <row r="45" spans="1:10" ht="18" x14ac:dyDescent="0.25">
      <c r="A45" s="324"/>
      <c r="B45" s="283"/>
      <c r="C45" s="109"/>
      <c r="D45" s="114"/>
      <c r="E45" s="114"/>
      <c r="F45" s="284"/>
      <c r="G45" s="284" t="s">
        <v>630</v>
      </c>
      <c r="H45" s="255"/>
    </row>
    <row r="46" spans="1:10" ht="21" customHeight="1" x14ac:dyDescent="0.25">
      <c r="B46" s="283"/>
      <c r="C46" s="109"/>
      <c r="D46" s="114"/>
      <c r="E46" s="114"/>
      <c r="F46" s="284"/>
      <c r="G46" s="284"/>
      <c r="H46" s="255"/>
    </row>
    <row r="47" spans="1:10" ht="15.75" customHeight="1" x14ac:dyDescent="0.25">
      <c r="B47" s="283"/>
      <c r="C47" s="109"/>
      <c r="D47" s="116"/>
      <c r="E47" s="116"/>
      <c r="F47" s="284"/>
      <c r="G47" s="284"/>
      <c r="H47" s="117"/>
    </row>
    <row r="48" spans="1:10" ht="15.75" customHeight="1" x14ac:dyDescent="0.25">
      <c r="B48" s="283"/>
      <c r="C48" s="109"/>
      <c r="D48" s="116"/>
      <c r="E48" s="116"/>
      <c r="F48" s="284"/>
      <c r="G48" s="284"/>
      <c r="H48" s="117"/>
    </row>
    <row r="49" spans="2:8" ht="15.75" customHeight="1" x14ac:dyDescent="0.25">
      <c r="B49" s="283"/>
      <c r="C49" s="109" t="s">
        <v>267</v>
      </c>
      <c r="D49" s="116"/>
      <c r="E49" s="116"/>
      <c r="F49" s="285"/>
      <c r="G49" s="285" t="s">
        <v>579</v>
      </c>
      <c r="H49" s="117"/>
    </row>
    <row r="50" spans="2:8" ht="15.75" customHeight="1" x14ac:dyDescent="0.25">
      <c r="B50" s="283"/>
      <c r="C50" s="109"/>
      <c r="D50" s="116"/>
      <c r="E50" s="116"/>
      <c r="F50" s="284"/>
      <c r="G50" s="284" t="s">
        <v>577</v>
      </c>
      <c r="H50" s="117"/>
    </row>
    <row r="51" spans="2:8" ht="22.5" customHeight="1" x14ac:dyDescent="0.25">
      <c r="C51" s="118"/>
      <c r="D51" s="119"/>
      <c r="E51" s="119"/>
      <c r="F51" s="284"/>
      <c r="G51" s="284" t="s">
        <v>576</v>
      </c>
      <c r="H51" s="120"/>
    </row>
    <row r="52" spans="2:8" ht="20.25" customHeight="1" x14ac:dyDescent="0.25">
      <c r="C52" s="118"/>
      <c r="D52" s="112"/>
      <c r="E52" s="112"/>
      <c r="F52" s="115"/>
      <c r="G52" s="115"/>
      <c r="H52" s="113"/>
    </row>
    <row r="53" spans="2:8" ht="13.15" customHeight="1" x14ac:dyDescent="0.25">
      <c r="C53" s="118"/>
      <c r="D53" s="112"/>
      <c r="E53" s="112"/>
      <c r="H53" s="113"/>
    </row>
    <row r="54" spans="2:8" ht="13.15" customHeight="1" x14ac:dyDescent="0.25">
      <c r="C54" s="118"/>
      <c r="D54" s="112"/>
      <c r="E54" s="112"/>
      <c r="F54" s="113"/>
      <c r="G54" s="113"/>
      <c r="H54" s="113"/>
    </row>
    <row r="55" spans="2:8" ht="13.15" customHeight="1" x14ac:dyDescent="0.25">
      <c r="C55" s="118"/>
      <c r="D55" s="112"/>
      <c r="E55" s="112"/>
      <c r="F55" s="113"/>
      <c r="G55" s="113"/>
      <c r="H55" s="113"/>
    </row>
    <row r="56" spans="2:8" ht="13.15" customHeight="1" x14ac:dyDescent="0.25">
      <c r="C56" s="118"/>
      <c r="D56" s="118"/>
      <c r="E56" s="118"/>
    </row>
    <row r="57" spans="2:8" ht="13.15" customHeight="1" x14ac:dyDescent="0.25">
      <c r="C57" s="118"/>
      <c r="D57" s="118"/>
      <c r="E57" s="118"/>
    </row>
    <row r="58" spans="2:8" ht="13.15" customHeight="1" x14ac:dyDescent="0.25">
      <c r="C58" s="118"/>
      <c r="D58" s="118"/>
      <c r="E58" s="118"/>
    </row>
    <row r="59" spans="2:8" ht="13.15" customHeight="1" x14ac:dyDescent="0.25">
      <c r="C59" s="118"/>
      <c r="D59" s="118"/>
      <c r="E59" s="118"/>
    </row>
    <row r="60" spans="2:8" ht="13.15" customHeight="1" x14ac:dyDescent="0.25">
      <c r="C60" s="118"/>
      <c r="D60" s="118"/>
      <c r="E60" s="118"/>
    </row>
    <row r="61" spans="2:8" ht="13.15" customHeight="1" x14ac:dyDescent="0.25">
      <c r="C61" s="118"/>
      <c r="D61" s="118"/>
      <c r="E61" s="118"/>
    </row>
    <row r="62" spans="2:8" ht="13.15" customHeight="1" x14ac:dyDescent="0.25">
      <c r="C62" s="118"/>
      <c r="D62" s="118"/>
      <c r="E62" s="118"/>
    </row>
  </sheetData>
  <mergeCells count="12">
    <mergeCell ref="F6:H6"/>
    <mergeCell ref="F7:H7"/>
    <mergeCell ref="A42:C42"/>
    <mergeCell ref="B2:D2"/>
    <mergeCell ref="B3:D3"/>
    <mergeCell ref="B4:D4"/>
    <mergeCell ref="B5:C5"/>
    <mergeCell ref="A8:A9"/>
    <mergeCell ref="B8:B9"/>
    <mergeCell ref="C8:C9"/>
    <mergeCell ref="E8:G8"/>
    <mergeCell ref="H8:H9"/>
  </mergeCells>
  <printOptions horizontalCentered="1"/>
  <pageMargins left="0.6692913385826772" right="1.0236220472440944" top="0.54" bottom="0.27559055118110237" header="0.23622047244094491" footer="0.33"/>
  <pageSetup paperSize="9" scale="6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M62"/>
  <sheetViews>
    <sheetView topLeftCell="A7" zoomScale="79" zoomScaleNormal="79" workbookViewId="0">
      <selection activeCell="J24" sqref="J24"/>
    </sheetView>
  </sheetViews>
  <sheetFormatPr defaultColWidth="9.28515625" defaultRowHeight="13.15" customHeight="1" x14ac:dyDescent="0.25"/>
  <cols>
    <col min="1" max="1" width="6.7109375" style="113" customWidth="1"/>
    <col min="2" max="2" width="16.140625" style="113" customWidth="1"/>
    <col min="3" max="3" width="56" style="81" customWidth="1"/>
    <col min="4" max="4" width="29.5703125" style="81" customWidth="1"/>
    <col min="5" max="5" width="29.140625" style="81" customWidth="1"/>
    <col min="6" max="6" width="28.42578125" style="81" customWidth="1"/>
    <col min="7" max="7" width="28.85546875" style="81" customWidth="1"/>
    <col min="8" max="8" width="12.85546875" style="81" bestFit="1" customWidth="1"/>
    <col min="9" max="9" width="31.140625" style="271" customWidth="1"/>
    <col min="10" max="10" width="33" style="271" customWidth="1"/>
    <col min="11" max="11" width="30.5703125" style="81" customWidth="1"/>
    <col min="12" max="12" width="26.42578125" style="81" bestFit="1" customWidth="1"/>
    <col min="13" max="13" width="23.5703125" style="81" customWidth="1"/>
    <col min="14" max="30" width="9.28515625" style="81" customWidth="1"/>
    <col min="31" max="16384" width="9.28515625" style="81"/>
  </cols>
  <sheetData>
    <row r="2" spans="1:13" ht="17.25" customHeight="1" x14ac:dyDescent="0.25">
      <c r="B2" s="452" t="s">
        <v>0</v>
      </c>
      <c r="C2" s="452"/>
      <c r="D2" s="452"/>
      <c r="E2" s="5" t="s">
        <v>486</v>
      </c>
      <c r="F2" s="5"/>
      <c r="G2" s="175"/>
      <c r="H2" s="175"/>
    </row>
    <row r="3" spans="1:13" ht="17.25" customHeight="1" x14ac:dyDescent="0.25">
      <c r="B3" s="445" t="s">
        <v>480</v>
      </c>
      <c r="C3" s="445"/>
      <c r="D3" s="445"/>
      <c r="E3" s="5" t="s">
        <v>631</v>
      </c>
      <c r="F3" s="5"/>
      <c r="G3" s="175"/>
      <c r="H3" s="175"/>
    </row>
    <row r="4" spans="1:13" ht="23.25" customHeight="1" x14ac:dyDescent="0.25">
      <c r="B4" s="453" t="s">
        <v>481</v>
      </c>
      <c r="C4" s="453"/>
      <c r="D4" s="453"/>
      <c r="E4" s="6" t="s">
        <v>705</v>
      </c>
      <c r="F4" s="6"/>
      <c r="G4" s="175"/>
      <c r="H4" s="175"/>
    </row>
    <row r="5" spans="1:13" ht="23.25" customHeight="1" x14ac:dyDescent="0.25">
      <c r="B5" s="453"/>
      <c r="C5" s="453"/>
      <c r="D5" s="6"/>
      <c r="E5" s="6"/>
      <c r="F5" s="175"/>
      <c r="G5" s="175"/>
      <c r="H5" s="175"/>
    </row>
    <row r="6" spans="1:13" ht="21" customHeight="1" x14ac:dyDescent="0.25">
      <c r="B6" s="388"/>
      <c r="C6" s="388"/>
      <c r="D6" s="7"/>
      <c r="E6" s="7"/>
      <c r="F6" s="449"/>
      <c r="G6" s="449"/>
      <c r="H6" s="449"/>
    </row>
    <row r="7" spans="1:13" ht="21" customHeight="1" thickBot="1" x14ac:dyDescent="0.3">
      <c r="B7" s="388"/>
      <c r="C7" s="388"/>
      <c r="D7" s="7"/>
      <c r="E7" s="7"/>
      <c r="F7" s="449"/>
      <c r="G7" s="449"/>
      <c r="H7" s="449"/>
    </row>
    <row r="8" spans="1:13" s="83" customFormat="1" ht="23.25" customHeight="1" x14ac:dyDescent="0.25">
      <c r="A8" s="435" t="s">
        <v>2</v>
      </c>
      <c r="B8" s="437" t="s">
        <v>3</v>
      </c>
      <c r="C8" s="437" t="s">
        <v>4</v>
      </c>
      <c r="D8" s="202" t="s">
        <v>5</v>
      </c>
      <c r="E8" s="441" t="s">
        <v>475</v>
      </c>
      <c r="F8" s="441"/>
      <c r="G8" s="441"/>
      <c r="H8" s="454" t="s">
        <v>6</v>
      </c>
      <c r="I8" s="272"/>
      <c r="J8" s="272"/>
    </row>
    <row r="9" spans="1:13" s="83" customFormat="1" ht="23.25" customHeight="1" x14ac:dyDescent="0.25">
      <c r="A9" s="436"/>
      <c r="B9" s="438"/>
      <c r="C9" s="438"/>
      <c r="D9" s="203" t="s">
        <v>697</v>
      </c>
      <c r="E9" s="251" t="s">
        <v>476</v>
      </c>
      <c r="F9" s="251" t="s">
        <v>477</v>
      </c>
      <c r="G9" s="251" t="s">
        <v>478</v>
      </c>
      <c r="H9" s="455"/>
      <c r="I9" s="272"/>
      <c r="J9" s="272"/>
    </row>
    <row r="10" spans="1:13" ht="15.75" customHeight="1" x14ac:dyDescent="0.25">
      <c r="A10" s="11">
        <v>1</v>
      </c>
      <c r="B10" s="12">
        <v>2</v>
      </c>
      <c r="C10" s="13">
        <v>3</v>
      </c>
      <c r="D10" s="14">
        <v>4</v>
      </c>
      <c r="E10" s="14">
        <v>5</v>
      </c>
      <c r="F10" s="14">
        <v>6</v>
      </c>
      <c r="G10" s="15" t="s">
        <v>582</v>
      </c>
      <c r="H10" s="235" t="s">
        <v>583</v>
      </c>
    </row>
    <row r="11" spans="1:13" ht="20.25" customHeight="1" x14ac:dyDescent="0.25">
      <c r="A11" s="318"/>
      <c r="B11" s="199" t="s">
        <v>473</v>
      </c>
      <c r="C11" s="200" t="s">
        <v>9</v>
      </c>
      <c r="D11" s="275">
        <f>D12+D20+D31</f>
        <v>1383352224486.3301</v>
      </c>
      <c r="E11" s="275">
        <f t="shared" ref="E11:G11" si="0">E12+E20+E31</f>
        <v>972038700448.88</v>
      </c>
      <c r="F11" s="275">
        <f t="shared" si="0"/>
        <v>151317419765.84</v>
      </c>
      <c r="G11" s="275">
        <f t="shared" si="0"/>
        <v>1123356120214.72</v>
      </c>
      <c r="H11" s="276">
        <f>G11/D11</f>
        <v>0.81205357560461322</v>
      </c>
      <c r="I11" s="328"/>
      <c r="J11" s="328"/>
      <c r="K11" s="328"/>
      <c r="L11" s="271"/>
    </row>
    <row r="12" spans="1:13" ht="20.25" customHeight="1" x14ac:dyDescent="0.25">
      <c r="A12" s="149" t="s">
        <v>426</v>
      </c>
      <c r="B12" s="150" t="s">
        <v>11</v>
      </c>
      <c r="C12" s="151" t="s">
        <v>443</v>
      </c>
      <c r="D12" s="152">
        <f>SUM(D13+D14+D18+D19)</f>
        <v>443574940245</v>
      </c>
      <c r="E12" s="152">
        <f>SUM(E13+E14+E18+E19)</f>
        <v>372042405043.88</v>
      </c>
      <c r="F12" s="152">
        <f t="shared" ref="F12:G12" si="1">SUM(F13+F14+F18+F19)</f>
        <v>27443551880.84</v>
      </c>
      <c r="G12" s="152">
        <f t="shared" si="1"/>
        <v>399485956924.71997</v>
      </c>
      <c r="H12" s="243">
        <f>G12/D12</f>
        <v>0.90060533334924575</v>
      </c>
      <c r="I12" s="329"/>
      <c r="J12" s="329"/>
      <c r="K12" s="329"/>
      <c r="L12" s="329"/>
    </row>
    <row r="13" spans="1:13" ht="20.25" customHeight="1" x14ac:dyDescent="0.25">
      <c r="A13" s="319" t="s">
        <v>19</v>
      </c>
      <c r="B13" s="256" t="s">
        <v>345</v>
      </c>
      <c r="C13" s="265" t="s">
        <v>264</v>
      </c>
      <c r="D13" s="258">
        <f>'Realisasi Sept'!D13</f>
        <v>222013986230</v>
      </c>
      <c r="E13" s="258">
        <f>'Rkp Sept'!G13</f>
        <v>201022397753.35999</v>
      </c>
      <c r="F13" s="258">
        <f>'Realisasi Okt'!F13</f>
        <v>9412338048</v>
      </c>
      <c r="G13" s="258">
        <f>E13+F13</f>
        <v>210434735801.35999</v>
      </c>
      <c r="H13" s="259">
        <f t="shared" ref="H13:H35" si="2">G13/D13</f>
        <v>0.9478445001359318</v>
      </c>
      <c r="J13" s="326"/>
      <c r="K13" s="271"/>
      <c r="L13" s="271"/>
      <c r="M13" s="90"/>
    </row>
    <row r="14" spans="1:13" ht="20.25" customHeight="1" x14ac:dyDescent="0.25">
      <c r="A14" s="320" t="s">
        <v>39</v>
      </c>
      <c r="B14" s="266" t="s">
        <v>346</v>
      </c>
      <c r="C14" s="267" t="s">
        <v>265</v>
      </c>
      <c r="D14" s="268">
        <f>SUM(D15:D17)</f>
        <v>47985440000</v>
      </c>
      <c r="E14" s="268">
        <f t="shared" ref="E14:G14" si="3">SUM(E15:E17)</f>
        <v>21571271524.169998</v>
      </c>
      <c r="F14" s="268">
        <f t="shared" si="3"/>
        <v>4770876324</v>
      </c>
      <c r="G14" s="268">
        <f t="shared" si="3"/>
        <v>26342147848.169998</v>
      </c>
      <c r="H14" s="269">
        <f t="shared" si="2"/>
        <v>0.54896126508728482</v>
      </c>
      <c r="K14" s="271"/>
      <c r="L14" s="271"/>
      <c r="M14" s="90"/>
    </row>
    <row r="15" spans="1:13" ht="20.25" customHeight="1" x14ac:dyDescent="0.25">
      <c r="A15" s="321"/>
      <c r="B15" s="86" t="s">
        <v>288</v>
      </c>
      <c r="C15" s="87" t="s">
        <v>55</v>
      </c>
      <c r="D15" s="88">
        <f>'Realisasi Sept'!D31+'Realisasi Sept'!D41+'Realisasi Sept'!D59+'Realisasi Sept'!D64+'Realisasi Sept'!D98</f>
        <v>4579475000</v>
      </c>
      <c r="E15" s="173">
        <f>'Rkp Sept'!G15</f>
        <v>1449846550</v>
      </c>
      <c r="F15" s="88">
        <f>'Realisasi Okt'!F30+'Realisasi Okt'!F59+'Realisasi Okt'!F64+'Realisasi Okt'!F98</f>
        <v>377142900</v>
      </c>
      <c r="G15" s="88">
        <f>E15+F15</f>
        <v>1826989450</v>
      </c>
      <c r="H15" s="245">
        <f t="shared" si="2"/>
        <v>0.39895172481561753</v>
      </c>
      <c r="M15" s="90"/>
    </row>
    <row r="16" spans="1:13" ht="20.25" customHeight="1" x14ac:dyDescent="0.25">
      <c r="A16" s="321"/>
      <c r="B16" s="86" t="s">
        <v>285</v>
      </c>
      <c r="C16" s="87" t="s">
        <v>444</v>
      </c>
      <c r="D16" s="88">
        <f>'Realisasi Sept'!D45+'Realisasi Sept'!D54+'Realisasi Sept'!D69+'Realisasi Sept'!D81+'Realisasi Sept'!D93</f>
        <v>28403965000</v>
      </c>
      <c r="E16" s="173">
        <f>'Rkp Sept'!G16</f>
        <v>17059430050</v>
      </c>
      <c r="F16" s="88">
        <f>'Realisasi Okt'!F45+'Realisasi Okt'!F54+'Realisasi Okt'!F69+'Realisasi Okt'!F81+'Realisasi Okt'!F93</f>
        <v>2360100300</v>
      </c>
      <c r="G16" s="88">
        <f t="shared" ref="G16:G18" si="4">E16+F16</f>
        <v>19419530350</v>
      </c>
      <c r="H16" s="245">
        <f t="shared" si="2"/>
        <v>0.68369082802348191</v>
      </c>
      <c r="M16" s="90"/>
    </row>
    <row r="17" spans="1:13" ht="20.25" customHeight="1" x14ac:dyDescent="0.25">
      <c r="A17" s="321"/>
      <c r="B17" s="86" t="s">
        <v>298</v>
      </c>
      <c r="C17" s="87" t="s">
        <v>60</v>
      </c>
      <c r="D17" s="88">
        <f>'Realisasi Sept'!D38+'Realisasi Sept'!D51+'Realisasi Sept'!D76</f>
        <v>15002000000</v>
      </c>
      <c r="E17" s="173">
        <f>'Rkp Sept'!G17</f>
        <v>3061994924.1700001</v>
      </c>
      <c r="F17" s="88">
        <f>'Realisasi Okt'!F51+'Realisasi Okt'!F76+'Realisasi Okt'!F38</f>
        <v>2033633124</v>
      </c>
      <c r="G17" s="88">
        <f t="shared" si="4"/>
        <v>5095628048.1700001</v>
      </c>
      <c r="H17" s="245">
        <f t="shared" si="2"/>
        <v>0.3396632481115851</v>
      </c>
      <c r="M17" s="90"/>
    </row>
    <row r="18" spans="1:13" ht="31.5" customHeight="1" x14ac:dyDescent="0.25">
      <c r="A18" s="320" t="s">
        <v>46</v>
      </c>
      <c r="B18" s="256" t="s">
        <v>347</v>
      </c>
      <c r="C18" s="257" t="s">
        <v>266</v>
      </c>
      <c r="D18" s="258">
        <f>'Realisasi Sept'!D102</f>
        <v>1663748324</v>
      </c>
      <c r="E18" s="258">
        <f>'Rkp Sept'!G18</f>
        <v>1079761191</v>
      </c>
      <c r="F18" s="258">
        <f>'Realisasi Okt'!F102</f>
        <v>0</v>
      </c>
      <c r="G18" s="260">
        <f t="shared" si="4"/>
        <v>1079761191</v>
      </c>
      <c r="H18" s="259">
        <f t="shared" si="2"/>
        <v>0.64899310516149922</v>
      </c>
      <c r="I18" s="273"/>
      <c r="K18" s="271"/>
      <c r="L18" s="271"/>
      <c r="M18" s="90"/>
    </row>
    <row r="19" spans="1:13" ht="20.25" customHeight="1" x14ac:dyDescent="0.25">
      <c r="A19" s="322" t="s">
        <v>8</v>
      </c>
      <c r="B19" s="266" t="s">
        <v>348</v>
      </c>
      <c r="C19" s="267" t="s">
        <v>96</v>
      </c>
      <c r="D19" s="268">
        <f>'Realisasi Sept'!D108</f>
        <v>171911765691</v>
      </c>
      <c r="E19" s="258">
        <f>'Rkp Sept'!G19</f>
        <v>148368974575.35001</v>
      </c>
      <c r="F19" s="268">
        <f>'Realisasi Okt'!F108</f>
        <v>13260337508.84</v>
      </c>
      <c r="G19" s="260">
        <f>E19+F19</f>
        <v>161629312084.19</v>
      </c>
      <c r="H19" s="269">
        <f t="shared" si="2"/>
        <v>0.9401876098155374</v>
      </c>
      <c r="K19" s="271"/>
      <c r="L19" s="271"/>
      <c r="M19" s="90"/>
    </row>
    <row r="20" spans="1:13" ht="20.25" customHeight="1" x14ac:dyDescent="0.25">
      <c r="A20" s="149" t="s">
        <v>163</v>
      </c>
      <c r="B20" s="150" t="s">
        <v>164</v>
      </c>
      <c r="C20" s="151" t="s">
        <v>268</v>
      </c>
      <c r="D20" s="155">
        <f>SUM(D21+D28)</f>
        <v>939777284241.33008</v>
      </c>
      <c r="E20" s="155">
        <f t="shared" ref="E20:G20" si="5">SUM(E21+E28)</f>
        <v>599996295405</v>
      </c>
      <c r="F20" s="155">
        <f>SUM(F21+F28)</f>
        <v>123873867885</v>
      </c>
      <c r="G20" s="155">
        <f t="shared" si="5"/>
        <v>723870163290</v>
      </c>
      <c r="H20" s="243">
        <f t="shared" si="2"/>
        <v>0.77025714009928525</v>
      </c>
      <c r="K20" s="271"/>
      <c r="L20" s="271"/>
    </row>
    <row r="21" spans="1:13" ht="20.25" customHeight="1" x14ac:dyDescent="0.25">
      <c r="A21" s="156" t="s">
        <v>416</v>
      </c>
      <c r="B21" s="157" t="s">
        <v>350</v>
      </c>
      <c r="C21" s="158" t="s">
        <v>351</v>
      </c>
      <c r="D21" s="159">
        <f>SUM(D22+D27)</f>
        <v>794763838753</v>
      </c>
      <c r="E21" s="159">
        <f t="shared" ref="E21:G21" si="6">SUM(E22+E27)</f>
        <v>526259426974</v>
      </c>
      <c r="F21" s="159">
        <f t="shared" si="6"/>
        <v>93899617286</v>
      </c>
      <c r="G21" s="159">
        <f t="shared" si="6"/>
        <v>620159044260</v>
      </c>
      <c r="H21" s="246">
        <f t="shared" si="2"/>
        <v>0.78030606580319717</v>
      </c>
      <c r="K21" s="271"/>
    </row>
    <row r="22" spans="1:13" ht="20.25" customHeight="1" x14ac:dyDescent="0.25">
      <c r="A22" s="160" t="s">
        <v>89</v>
      </c>
      <c r="B22" s="161" t="s">
        <v>352</v>
      </c>
      <c r="C22" s="162" t="s">
        <v>435</v>
      </c>
      <c r="D22" s="163">
        <f>SUM(D23:D26)</f>
        <v>774402942753</v>
      </c>
      <c r="E22" s="163">
        <f t="shared" ref="E22:G22" si="7">SUM(E23:E26)</f>
        <v>517396102974</v>
      </c>
      <c r="F22" s="163">
        <f>SUM(F23:F26)</f>
        <v>93899617286</v>
      </c>
      <c r="G22" s="163">
        <f t="shared" si="7"/>
        <v>611295720260</v>
      </c>
      <c r="H22" s="247">
        <f t="shared" si="2"/>
        <v>0.78937680438925717</v>
      </c>
    </row>
    <row r="23" spans="1:13" ht="20.25" customHeight="1" x14ac:dyDescent="0.25">
      <c r="A23" s="323" t="s">
        <v>13</v>
      </c>
      <c r="B23" s="147" t="s">
        <v>353</v>
      </c>
      <c r="C23" s="148" t="s">
        <v>354</v>
      </c>
      <c r="D23" s="173">
        <v>162373681000</v>
      </c>
      <c r="E23" s="173">
        <f>'Rkp Sept'!G23</f>
        <v>85276302890</v>
      </c>
      <c r="F23" s="173">
        <f>'Realisasi Okt'!F235</f>
        <v>39907281086</v>
      </c>
      <c r="G23" s="173">
        <f>E23+F23</f>
        <v>125183583976</v>
      </c>
      <c r="H23" s="244">
        <f t="shared" si="2"/>
        <v>0.77095982061279988</v>
      </c>
      <c r="K23" s="271"/>
    </row>
    <row r="24" spans="1:13" ht="20.25" customHeight="1" x14ac:dyDescent="0.25">
      <c r="A24" s="85" t="s">
        <v>16</v>
      </c>
      <c r="B24" s="86" t="s">
        <v>368</v>
      </c>
      <c r="C24" s="87" t="s">
        <v>436</v>
      </c>
      <c r="D24" s="88">
        <v>429554051000</v>
      </c>
      <c r="E24" s="173">
        <f>'Rkp Sept'!G24</f>
        <v>356149906138</v>
      </c>
      <c r="F24" s="88">
        <f>'Realisasi Okt'!F293</f>
        <v>35796170000</v>
      </c>
      <c r="G24" s="173">
        <f t="shared" ref="G24:G26" si="8">E24+F24</f>
        <v>391946076138</v>
      </c>
      <c r="H24" s="248">
        <f t="shared" si="2"/>
        <v>0.91244879480370678</v>
      </c>
    </row>
    <row r="25" spans="1:13" ht="20.25" customHeight="1" x14ac:dyDescent="0.25">
      <c r="A25" s="85" t="s">
        <v>86</v>
      </c>
      <c r="B25" s="86" t="s">
        <v>370</v>
      </c>
      <c r="C25" s="87" t="s">
        <v>437</v>
      </c>
      <c r="D25" s="88">
        <f>'Realisasi Sept'!D295</f>
        <v>62721068973</v>
      </c>
      <c r="E25" s="173">
        <f>'Rkp Sept'!G25</f>
        <v>42382107879</v>
      </c>
      <c r="F25" s="88">
        <f>'Realisasi Okt'!F295</f>
        <v>4765139200</v>
      </c>
      <c r="G25" s="173">
        <f>E25+F25</f>
        <v>47147247079</v>
      </c>
      <c r="H25" s="248">
        <f t="shared" si="2"/>
        <v>0.75169712268928046</v>
      </c>
      <c r="K25" s="271"/>
    </row>
    <row r="26" spans="1:13" ht="20.25" customHeight="1" x14ac:dyDescent="0.25">
      <c r="A26" s="91" t="s">
        <v>95</v>
      </c>
      <c r="B26" s="153" t="s">
        <v>384</v>
      </c>
      <c r="C26" s="154" t="s">
        <v>438</v>
      </c>
      <c r="D26" s="174">
        <f>'Realisasi Sept'!D365</f>
        <v>119754141780</v>
      </c>
      <c r="E26" s="173">
        <f>'Rkp Sept'!G26</f>
        <v>33587786067</v>
      </c>
      <c r="F26" s="174">
        <f>'Realisasi Okt'!F365</f>
        <v>13431027000</v>
      </c>
      <c r="G26" s="173">
        <f t="shared" si="8"/>
        <v>47018813067</v>
      </c>
      <c r="H26" s="245">
        <f t="shared" si="2"/>
        <v>0.39262786545936867</v>
      </c>
    </row>
    <row r="27" spans="1:13" ht="15" x14ac:dyDescent="0.25">
      <c r="A27" s="160" t="s">
        <v>91</v>
      </c>
      <c r="B27" s="161" t="s">
        <v>396</v>
      </c>
      <c r="C27" s="162" t="s">
        <v>439</v>
      </c>
      <c r="D27" s="163">
        <v>20360896000</v>
      </c>
      <c r="E27" s="163">
        <f>'Rkp Sept'!G27</f>
        <v>8863324000</v>
      </c>
      <c r="F27" s="163">
        <f>'Realisasi Okt'!F410</f>
        <v>0</v>
      </c>
      <c r="G27" s="163">
        <f>E27+F27</f>
        <v>8863324000</v>
      </c>
      <c r="H27" s="247">
        <f t="shared" si="2"/>
        <v>0.43531109829351322</v>
      </c>
    </row>
    <row r="28" spans="1:13" ht="20.25" customHeight="1" x14ac:dyDescent="0.25">
      <c r="A28" s="156" t="s">
        <v>440</v>
      </c>
      <c r="B28" s="157" t="s">
        <v>398</v>
      </c>
      <c r="C28" s="158" t="s">
        <v>399</v>
      </c>
      <c r="D28" s="159">
        <f>SUM(D29:D30)</f>
        <v>145013445488.33002</v>
      </c>
      <c r="E28" s="159">
        <f t="shared" ref="E28:F28" si="9">SUM(E29:E30)</f>
        <v>73736868431</v>
      </c>
      <c r="F28" s="159">
        <f t="shared" si="9"/>
        <v>29974250599</v>
      </c>
      <c r="G28" s="159">
        <f>E28+F28</f>
        <v>103711119030</v>
      </c>
      <c r="H28" s="246">
        <f t="shared" si="2"/>
        <v>0.71518277964332744</v>
      </c>
    </row>
    <row r="29" spans="1:13" ht="20.25" customHeight="1" x14ac:dyDescent="0.25">
      <c r="A29" s="323" t="s">
        <v>89</v>
      </c>
      <c r="B29" s="147" t="s">
        <v>400</v>
      </c>
      <c r="C29" s="148" t="s">
        <v>403</v>
      </c>
      <c r="D29" s="173">
        <v>135038655888.33</v>
      </c>
      <c r="E29" s="173">
        <f>'Rkp Sept'!G29</f>
        <v>68120868431</v>
      </c>
      <c r="F29" s="173">
        <f>'Realisasi Okt'!F419</f>
        <v>29974250599</v>
      </c>
      <c r="G29" s="173">
        <f>E29+F29</f>
        <v>98095119030</v>
      </c>
      <c r="H29" s="244">
        <f t="shared" si="2"/>
        <v>0.72642250757530935</v>
      </c>
    </row>
    <row r="30" spans="1:13" ht="20.25" customHeight="1" x14ac:dyDescent="0.25">
      <c r="A30" s="91" t="s">
        <v>91</v>
      </c>
      <c r="B30" s="153" t="s">
        <v>425</v>
      </c>
      <c r="C30" s="154" t="s">
        <v>427</v>
      </c>
      <c r="D30" s="174">
        <v>9974789600</v>
      </c>
      <c r="E30" s="173">
        <f>'Rkp Sept'!G30</f>
        <v>5616000000</v>
      </c>
      <c r="F30" s="174">
        <f>'Realisasi Okt'!F431</f>
        <v>0</v>
      </c>
      <c r="G30" s="173">
        <f>E30+F30</f>
        <v>5616000000</v>
      </c>
      <c r="H30" s="244">
        <f t="shared" si="2"/>
        <v>0.56301939441409365</v>
      </c>
    </row>
    <row r="31" spans="1:13" ht="20.25" customHeight="1" x14ac:dyDescent="0.25">
      <c r="A31" s="149" t="s">
        <v>241</v>
      </c>
      <c r="B31" s="150" t="s">
        <v>242</v>
      </c>
      <c r="C31" s="151" t="s">
        <v>243</v>
      </c>
      <c r="D31" s="155">
        <f t="shared" ref="D31:G33" si="10">D32</f>
        <v>0</v>
      </c>
      <c r="E31" s="155">
        <f t="shared" si="10"/>
        <v>0</v>
      </c>
      <c r="F31" s="155">
        <f t="shared" si="10"/>
        <v>0</v>
      </c>
      <c r="G31" s="155">
        <f t="shared" si="10"/>
        <v>0</v>
      </c>
      <c r="H31" s="243" t="e">
        <f t="shared" si="2"/>
        <v>#DIV/0!</v>
      </c>
    </row>
    <row r="32" spans="1:13" ht="34.5" customHeight="1" x14ac:dyDescent="0.25">
      <c r="A32" s="84"/>
      <c r="B32" s="147" t="s">
        <v>418</v>
      </c>
      <c r="C32" s="250" t="s">
        <v>441</v>
      </c>
      <c r="D32" s="258">
        <f>D33</f>
        <v>0</v>
      </c>
      <c r="E32" s="173"/>
      <c r="F32" s="173">
        <f>F33</f>
        <v>0</v>
      </c>
      <c r="G32" s="173">
        <f>E32+F32</f>
        <v>0</v>
      </c>
      <c r="H32" s="259" t="e">
        <f t="shared" si="2"/>
        <v>#DIV/0!</v>
      </c>
    </row>
    <row r="33" spans="1:10" ht="20.25" customHeight="1" x14ac:dyDescent="0.25">
      <c r="A33" s="85"/>
      <c r="B33" s="86" t="s">
        <v>420</v>
      </c>
      <c r="C33" s="87" t="s">
        <v>442</v>
      </c>
      <c r="D33" s="260">
        <f t="shared" si="10"/>
        <v>0</v>
      </c>
      <c r="E33" s="173"/>
      <c r="F33" s="88">
        <f>'Realisasi Agustus'!G452</f>
        <v>0</v>
      </c>
      <c r="G33" s="173">
        <f t="shared" ref="G33" si="11">E33+F33</f>
        <v>0</v>
      </c>
      <c r="H33" s="261" t="e">
        <f t="shared" si="2"/>
        <v>#DIV/0!</v>
      </c>
    </row>
    <row r="34" spans="1:10" ht="20.25" customHeight="1" x14ac:dyDescent="0.25">
      <c r="A34" s="91" t="s">
        <v>89</v>
      </c>
      <c r="B34" s="86" t="s">
        <v>422</v>
      </c>
      <c r="C34" s="87" t="s">
        <v>423</v>
      </c>
      <c r="D34" s="164">
        <v>0</v>
      </c>
      <c r="E34" s="173">
        <f>'Rkp Agustus'!H34</f>
        <v>0</v>
      </c>
      <c r="F34" s="174">
        <f>'Realisasi Sept'!F444</f>
        <v>0</v>
      </c>
      <c r="G34" s="173">
        <f>F34</f>
        <v>0</v>
      </c>
      <c r="H34" s="248" t="e">
        <f t="shared" si="2"/>
        <v>#DIV/0!</v>
      </c>
    </row>
    <row r="35" spans="1:10" ht="20.25" customHeight="1" thickBot="1" x14ac:dyDescent="0.3">
      <c r="A35" s="91" t="s">
        <v>91</v>
      </c>
      <c r="B35" s="86" t="s">
        <v>618</v>
      </c>
      <c r="C35" s="87" t="s">
        <v>620</v>
      </c>
      <c r="D35" s="164">
        <v>0</v>
      </c>
      <c r="E35" s="173">
        <f>'Rkp Agustus'!H35</f>
        <v>0</v>
      </c>
      <c r="F35" s="174">
        <f>'Realisasi Sept'!F458</f>
        <v>0</v>
      </c>
      <c r="G35" s="173">
        <f>F35</f>
        <v>0</v>
      </c>
      <c r="H35" s="286" t="e">
        <f t="shared" si="2"/>
        <v>#DIV/0!</v>
      </c>
    </row>
    <row r="36" spans="1:10" s="82" customFormat="1" ht="21.75" customHeight="1" thickBot="1" x14ac:dyDescent="0.3">
      <c r="A36" s="143"/>
      <c r="B36" s="144"/>
      <c r="C36" s="145" t="s">
        <v>472</v>
      </c>
      <c r="D36" s="146">
        <f>SUM(D12+D20+D31)</f>
        <v>1383352224486.3301</v>
      </c>
      <c r="E36" s="146">
        <f t="shared" ref="E36:G36" si="12">SUM(E12+E20+E31)</f>
        <v>972038700448.88</v>
      </c>
      <c r="F36" s="146">
        <f t="shared" si="12"/>
        <v>151317419765.84</v>
      </c>
      <c r="G36" s="146">
        <f t="shared" si="12"/>
        <v>1123356120214.72</v>
      </c>
      <c r="H36" s="249">
        <f>G36/D36</f>
        <v>0.81205357560461322</v>
      </c>
      <c r="I36" s="274"/>
      <c r="J36" s="274"/>
    </row>
    <row r="37" spans="1:10" ht="20.25" hidden="1" customHeight="1" x14ac:dyDescent="0.25">
      <c r="A37" s="92" t="s">
        <v>95</v>
      </c>
      <c r="B37" s="93" t="s">
        <v>46</v>
      </c>
      <c r="C37" s="94" t="s">
        <v>251</v>
      </c>
      <c r="D37" s="95">
        <v>102132456348.7</v>
      </c>
      <c r="E37" s="173"/>
      <c r="F37" s="88" t="e">
        <f>D37-#REF!</f>
        <v>#REF!</v>
      </c>
      <c r="G37" s="173"/>
      <c r="H37" s="96" t="e">
        <f>SUM(F37/#REF!)</f>
        <v>#REF!</v>
      </c>
    </row>
    <row r="38" spans="1:10" ht="20.25" hidden="1" customHeight="1" x14ac:dyDescent="0.25">
      <c r="A38" s="85"/>
      <c r="B38" s="97" t="s">
        <v>252</v>
      </c>
      <c r="C38" s="98" t="s">
        <v>253</v>
      </c>
      <c r="D38" s="88">
        <v>102132456348.7</v>
      </c>
      <c r="E38" s="88"/>
      <c r="F38" s="88" t="e">
        <f>D38-#REF!</f>
        <v>#REF!</v>
      </c>
      <c r="G38" s="88"/>
      <c r="H38" s="89" t="e">
        <f>SUM(F38/#REF!)</f>
        <v>#REF!</v>
      </c>
    </row>
    <row r="39" spans="1:10" ht="20.25" hidden="1" customHeight="1" x14ac:dyDescent="0.25">
      <c r="A39" s="85"/>
      <c r="B39" s="99" t="s">
        <v>254</v>
      </c>
      <c r="C39" s="100" t="s">
        <v>255</v>
      </c>
      <c r="D39" s="88">
        <v>95076456348.699997</v>
      </c>
      <c r="E39" s="88"/>
      <c r="F39" s="88" t="e">
        <f>D39-#REF!</f>
        <v>#REF!</v>
      </c>
      <c r="G39" s="88"/>
      <c r="H39" s="89" t="e">
        <f>SUM(F39/#REF!)</f>
        <v>#REF!</v>
      </c>
    </row>
    <row r="40" spans="1:10" ht="20.25" hidden="1" customHeight="1" x14ac:dyDescent="0.25">
      <c r="A40" s="85"/>
      <c r="B40" s="99" t="s">
        <v>256</v>
      </c>
      <c r="C40" s="100" t="s">
        <v>257</v>
      </c>
      <c r="D40" s="88">
        <v>7056000000</v>
      </c>
      <c r="E40" s="88"/>
      <c r="F40" s="88" t="e">
        <f>D40-#REF!</f>
        <v>#REF!</v>
      </c>
      <c r="G40" s="88"/>
      <c r="H40" s="89">
        <v>1</v>
      </c>
    </row>
    <row r="41" spans="1:10" ht="20.25" hidden="1" customHeight="1" x14ac:dyDescent="0.25">
      <c r="A41" s="101"/>
      <c r="B41" s="102" t="s">
        <v>258</v>
      </c>
      <c r="C41" s="103" t="s">
        <v>259</v>
      </c>
      <c r="D41" s="104">
        <v>7056000000</v>
      </c>
      <c r="E41" s="174"/>
      <c r="F41" s="88" t="e">
        <f>D41-#REF!</f>
        <v>#REF!</v>
      </c>
      <c r="G41" s="174"/>
      <c r="H41" s="105">
        <v>1</v>
      </c>
    </row>
    <row r="42" spans="1:10" ht="26.25" hidden="1" customHeight="1" x14ac:dyDescent="0.25">
      <c r="A42" s="450" t="s">
        <v>263</v>
      </c>
      <c r="B42" s="451"/>
      <c r="C42" s="451"/>
      <c r="D42" s="106">
        <f>SUM(D37+D36)</f>
        <v>1485484680835.03</v>
      </c>
      <c r="E42" s="106"/>
      <c r="F42" s="106" t="e">
        <f>SUM(F37+F36)</f>
        <v>#REF!</v>
      </c>
      <c r="G42" s="106"/>
      <c r="H42" s="107" t="e">
        <f>SUM(F42/#REF!)</f>
        <v>#REF!</v>
      </c>
    </row>
    <row r="43" spans="1:10" ht="26.25" customHeight="1" x14ac:dyDescent="0.25">
      <c r="A43" s="108"/>
      <c r="B43" s="198"/>
      <c r="C43" s="197"/>
      <c r="D43" s="110"/>
      <c r="E43" s="110"/>
      <c r="F43" s="110"/>
      <c r="G43" s="110"/>
      <c r="H43" s="111"/>
    </row>
    <row r="44" spans="1:10" ht="21" customHeight="1" x14ac:dyDescent="0.25">
      <c r="A44" s="342"/>
      <c r="B44" s="388"/>
      <c r="C44" s="109"/>
      <c r="D44" s="112"/>
      <c r="E44" s="112"/>
      <c r="F44" s="291"/>
      <c r="G44" s="291" t="s">
        <v>725</v>
      </c>
      <c r="H44" s="113"/>
    </row>
    <row r="45" spans="1:10" ht="18" x14ac:dyDescent="0.25">
      <c r="A45" s="342"/>
      <c r="B45" s="388"/>
      <c r="C45" s="109"/>
      <c r="D45" s="114"/>
      <c r="E45" s="114"/>
      <c r="F45" s="291"/>
      <c r="G45" s="291" t="s">
        <v>630</v>
      </c>
      <c r="H45" s="255"/>
    </row>
    <row r="46" spans="1:10" ht="21" customHeight="1" x14ac:dyDescent="0.25">
      <c r="B46" s="388"/>
      <c r="C46" s="109"/>
      <c r="D46" s="114"/>
      <c r="E46" s="114"/>
      <c r="F46" s="291"/>
      <c r="G46" s="291"/>
      <c r="H46" s="255"/>
    </row>
    <row r="47" spans="1:10" ht="15.75" customHeight="1" x14ac:dyDescent="0.25">
      <c r="B47" s="388"/>
      <c r="C47" s="109"/>
      <c r="D47" s="116"/>
      <c r="E47" s="116"/>
      <c r="F47" s="291"/>
      <c r="G47" s="291"/>
      <c r="H47" s="117"/>
    </row>
    <row r="48" spans="1:10" ht="15.75" customHeight="1" x14ac:dyDescent="0.25">
      <c r="B48" s="388"/>
      <c r="C48" s="109"/>
      <c r="D48" s="116"/>
      <c r="E48" s="116"/>
      <c r="F48" s="291"/>
      <c r="G48" s="291"/>
      <c r="H48" s="117"/>
    </row>
    <row r="49" spans="2:8" ht="15.75" customHeight="1" x14ac:dyDescent="0.25">
      <c r="B49" s="388"/>
      <c r="C49" s="109" t="s">
        <v>267</v>
      </c>
      <c r="D49" s="116"/>
      <c r="E49" s="116"/>
      <c r="F49" s="292"/>
      <c r="G49" s="292" t="s">
        <v>579</v>
      </c>
      <c r="H49" s="117"/>
    </row>
    <row r="50" spans="2:8" ht="15.75" customHeight="1" x14ac:dyDescent="0.25">
      <c r="B50" s="388"/>
      <c r="C50" s="109"/>
      <c r="D50" s="116"/>
      <c r="E50" s="116"/>
      <c r="F50" s="291"/>
      <c r="G50" s="291" t="s">
        <v>577</v>
      </c>
      <c r="H50" s="117"/>
    </row>
    <row r="51" spans="2:8" ht="22.5" customHeight="1" x14ac:dyDescent="0.25">
      <c r="C51" s="118"/>
      <c r="D51" s="119"/>
      <c r="E51" s="119"/>
      <c r="F51" s="291"/>
      <c r="G51" s="291" t="s">
        <v>576</v>
      </c>
      <c r="H51" s="120"/>
    </row>
    <row r="52" spans="2:8" ht="20.25" customHeight="1" x14ac:dyDescent="0.25">
      <c r="C52" s="118"/>
      <c r="D52" s="112"/>
      <c r="E52" s="112"/>
      <c r="F52" s="115"/>
      <c r="G52" s="115"/>
      <c r="H52" s="113"/>
    </row>
    <row r="53" spans="2:8" ht="13.15" customHeight="1" x14ac:dyDescent="0.25">
      <c r="C53" s="118"/>
      <c r="D53" s="112"/>
      <c r="E53" s="112"/>
      <c r="H53" s="113"/>
    </row>
    <row r="54" spans="2:8" ht="13.15" customHeight="1" x14ac:dyDescent="0.25">
      <c r="C54" s="118"/>
      <c r="D54" s="112"/>
      <c r="E54" s="112"/>
      <c r="F54" s="113"/>
      <c r="G54" s="113"/>
      <c r="H54" s="113"/>
    </row>
    <row r="55" spans="2:8" ht="13.15" customHeight="1" x14ac:dyDescent="0.25">
      <c r="C55" s="118"/>
      <c r="D55" s="112"/>
      <c r="E55" s="112"/>
      <c r="F55" s="113"/>
      <c r="G55" s="113"/>
      <c r="H55" s="113"/>
    </row>
    <row r="56" spans="2:8" ht="13.15" customHeight="1" x14ac:dyDescent="0.25">
      <c r="C56" s="118"/>
      <c r="D56" s="118"/>
      <c r="E56" s="118"/>
    </row>
    <row r="57" spans="2:8" ht="13.15" customHeight="1" x14ac:dyDescent="0.25">
      <c r="C57" s="118"/>
      <c r="D57" s="118"/>
      <c r="E57" s="118"/>
    </row>
    <row r="58" spans="2:8" ht="13.15" customHeight="1" x14ac:dyDescent="0.25">
      <c r="C58" s="118"/>
      <c r="D58" s="118"/>
      <c r="E58" s="118"/>
    </row>
    <row r="59" spans="2:8" ht="13.15" customHeight="1" x14ac:dyDescent="0.25">
      <c r="C59" s="118"/>
      <c r="D59" s="118"/>
      <c r="E59" s="118"/>
    </row>
    <row r="60" spans="2:8" ht="13.15" customHeight="1" x14ac:dyDescent="0.25">
      <c r="C60" s="118"/>
      <c r="D60" s="118"/>
      <c r="E60" s="118"/>
    </row>
    <row r="61" spans="2:8" ht="13.15" customHeight="1" x14ac:dyDescent="0.25">
      <c r="C61" s="118"/>
      <c r="D61" s="118"/>
      <c r="E61" s="118"/>
    </row>
    <row r="62" spans="2:8" ht="13.15" customHeight="1" x14ac:dyDescent="0.25">
      <c r="C62" s="118"/>
      <c r="D62" s="118"/>
      <c r="E62" s="118"/>
    </row>
  </sheetData>
  <mergeCells count="12">
    <mergeCell ref="F6:H6"/>
    <mergeCell ref="F7:H7"/>
    <mergeCell ref="A42:C42"/>
    <mergeCell ref="B2:D2"/>
    <mergeCell ref="B3:D3"/>
    <mergeCell ref="B4:D4"/>
    <mergeCell ref="B5:C5"/>
    <mergeCell ref="A8:A9"/>
    <mergeCell ref="B8:B9"/>
    <mergeCell ref="C8:C9"/>
    <mergeCell ref="E8:G8"/>
    <mergeCell ref="H8:H9"/>
  </mergeCells>
  <printOptions horizontalCentered="1"/>
  <pageMargins left="0.6692913385826772" right="1.0236220472440944" top="0.54" bottom="0.27559055118110237" header="0.23622047244094491" footer="0.33"/>
  <pageSetup paperSize="9" scale="6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O480"/>
  <sheetViews>
    <sheetView zoomScale="70" zoomScaleNormal="70" workbookViewId="0">
      <pane ySplit="9" topLeftCell="A117" activePane="bottomLeft" state="frozen"/>
      <selection activeCell="I30" sqref="I30"/>
      <selection pane="bottomLeft" activeCell="F132" sqref="F132"/>
    </sheetView>
  </sheetViews>
  <sheetFormatPr defaultColWidth="9.28515625" defaultRowHeight="18" x14ac:dyDescent="0.25"/>
  <cols>
    <col min="1" max="1" width="7" style="4" customWidth="1"/>
    <col min="2" max="2" width="25.140625" style="4" customWidth="1"/>
    <col min="3" max="3" width="82.7109375" style="4" customWidth="1"/>
    <col min="4" max="6" width="28.42578125" style="175" customWidth="1"/>
    <col min="7" max="7" width="30.7109375" style="175" customWidth="1"/>
    <col min="8" max="8" width="16" style="175" customWidth="1"/>
    <col min="9" max="9" width="56.42578125" style="4" hidden="1" customWidth="1"/>
    <col min="10" max="10" width="31" style="175" bestFit="1" customWidth="1"/>
    <col min="11" max="12" width="28.28515625" style="4" bestFit="1" customWidth="1"/>
    <col min="13" max="13" width="26.28515625" style="4" customWidth="1"/>
    <col min="14" max="16384" width="9.28515625" style="4"/>
  </cols>
  <sheetData>
    <row r="1" spans="1:15" x14ac:dyDescent="0.25">
      <c r="A1" s="1"/>
      <c r="B1" s="1"/>
      <c r="C1" s="2"/>
      <c r="I1" s="3"/>
    </row>
    <row r="2" spans="1:15" ht="25.5" x14ac:dyDescent="0.25">
      <c r="A2" s="1"/>
      <c r="B2" s="444" t="s">
        <v>0</v>
      </c>
      <c r="C2" s="444"/>
      <c r="E2" s="5" t="s">
        <v>486</v>
      </c>
      <c r="I2" s="1"/>
      <c r="K2" s="5"/>
    </row>
    <row r="3" spans="1:15" x14ac:dyDescent="0.25">
      <c r="A3" s="1"/>
      <c r="B3" s="445" t="s">
        <v>480</v>
      </c>
      <c r="C3" s="445"/>
      <c r="E3" s="5" t="s">
        <v>631</v>
      </c>
      <c r="K3" s="5"/>
    </row>
    <row r="4" spans="1:15" x14ac:dyDescent="0.25">
      <c r="A4" s="1"/>
      <c r="B4" s="446" t="s">
        <v>481</v>
      </c>
      <c r="C4" s="446"/>
      <c r="E4" s="6" t="s">
        <v>718</v>
      </c>
      <c r="K4" s="6"/>
    </row>
    <row r="5" spans="1:15" ht="19.5" x14ac:dyDescent="0.25">
      <c r="A5" s="1"/>
      <c r="B5" s="447"/>
      <c r="C5" s="447"/>
      <c r="I5" s="1"/>
    </row>
    <row r="6" spans="1:15" ht="18.75" thickBot="1" x14ac:dyDescent="0.3">
      <c r="A6" s="1"/>
      <c r="B6" s="397"/>
      <c r="C6" s="397"/>
      <c r="D6" s="8"/>
      <c r="E6" s="8"/>
      <c r="F6" s="448"/>
      <c r="G6" s="448"/>
      <c r="H6" s="448"/>
      <c r="I6" s="7"/>
    </row>
    <row r="7" spans="1:15" s="10" customFormat="1" ht="29.25" customHeight="1" x14ac:dyDescent="0.25">
      <c r="A7" s="435" t="s">
        <v>2</v>
      </c>
      <c r="B7" s="437" t="s">
        <v>3</v>
      </c>
      <c r="C7" s="437" t="s">
        <v>4</v>
      </c>
      <c r="D7" s="202" t="s">
        <v>5</v>
      </c>
      <c r="E7" s="441" t="s">
        <v>475</v>
      </c>
      <c r="F7" s="441"/>
      <c r="G7" s="441"/>
      <c r="H7" s="439" t="s">
        <v>6</v>
      </c>
      <c r="I7" s="442" t="s">
        <v>7</v>
      </c>
      <c r="J7" s="9"/>
    </row>
    <row r="8" spans="1:15" s="10" customFormat="1" ht="29.25" customHeight="1" thickBot="1" x14ac:dyDescent="0.3">
      <c r="A8" s="436"/>
      <c r="B8" s="438"/>
      <c r="C8" s="438"/>
      <c r="D8" s="203" t="s">
        <v>697</v>
      </c>
      <c r="E8" s="204" t="s">
        <v>476</v>
      </c>
      <c r="F8" s="204" t="s">
        <v>477</v>
      </c>
      <c r="G8" s="204" t="s">
        <v>478</v>
      </c>
      <c r="H8" s="440"/>
      <c r="I8" s="443"/>
      <c r="J8" s="9"/>
    </row>
    <row r="9" spans="1:15" s="16" customFormat="1" ht="14.65" customHeight="1" x14ac:dyDescent="0.25">
      <c r="A9" s="11">
        <v>1</v>
      </c>
      <c r="B9" s="12">
        <v>2</v>
      </c>
      <c r="C9" s="13">
        <v>3</v>
      </c>
      <c r="D9" s="14">
        <v>4</v>
      </c>
      <c r="E9" s="14">
        <v>5</v>
      </c>
      <c r="F9" s="14">
        <v>6</v>
      </c>
      <c r="G9" s="15" t="s">
        <v>582</v>
      </c>
      <c r="H9" s="235" t="s">
        <v>583</v>
      </c>
      <c r="I9" s="205">
        <v>9</v>
      </c>
      <c r="J9" s="7"/>
    </row>
    <row r="10" spans="1:15" x14ac:dyDescent="0.25">
      <c r="A10" s="17"/>
      <c r="B10" s="18"/>
      <c r="C10" s="19"/>
      <c r="D10" s="20"/>
      <c r="E10" s="20"/>
      <c r="F10" s="20"/>
      <c r="G10" s="20"/>
      <c r="H10" s="21"/>
      <c r="I10" s="206"/>
    </row>
    <row r="11" spans="1:15" s="176" customFormat="1" ht="25.5" customHeight="1" x14ac:dyDescent="0.25">
      <c r="A11" s="169"/>
      <c r="B11" s="167" t="s">
        <v>8</v>
      </c>
      <c r="C11" s="185" t="s">
        <v>9</v>
      </c>
      <c r="D11" s="191">
        <f>SUM(D12+D232+D441)</f>
        <v>1383352224486.3301</v>
      </c>
      <c r="E11" s="191">
        <f>SUM(E12+E232+E441)</f>
        <v>1123356120214.72</v>
      </c>
      <c r="F11" s="191">
        <f>SUM(F12+F232+F441)</f>
        <v>100265347374.06</v>
      </c>
      <c r="G11" s="191">
        <f>SUM(G12+G232+G441)</f>
        <v>1223621467588.78</v>
      </c>
      <c r="H11" s="236">
        <f>G11/D11</f>
        <v>0.88453355980479831</v>
      </c>
      <c r="I11" s="207"/>
      <c r="J11" s="3"/>
      <c r="K11" s="3"/>
      <c r="L11" s="3"/>
    </row>
    <row r="12" spans="1:15" s="176" customFormat="1" ht="27.75" customHeight="1" x14ac:dyDescent="0.25">
      <c r="A12" s="126" t="s">
        <v>10</v>
      </c>
      <c r="B12" s="127" t="s">
        <v>11</v>
      </c>
      <c r="C12" s="41" t="s">
        <v>12</v>
      </c>
      <c r="D12" s="42">
        <f>SUM(D13+D14+D102+D108)</f>
        <v>443574940245</v>
      </c>
      <c r="E12" s="42">
        <f t="shared" ref="E12:G12" si="0">SUM(E13+E14+E102+E108)</f>
        <v>399485956924.71997</v>
      </c>
      <c r="F12" s="42">
        <f t="shared" si="0"/>
        <v>35385942203.059998</v>
      </c>
      <c r="G12" s="42">
        <f t="shared" si="0"/>
        <v>434871899127.77997</v>
      </c>
      <c r="H12" s="237">
        <f>G12/D12</f>
        <v>0.98037977277883848</v>
      </c>
      <c r="I12" s="208"/>
      <c r="J12" s="175"/>
    </row>
    <row r="13" spans="1:15" s="176" customFormat="1" ht="25.5" customHeight="1" x14ac:dyDescent="0.25">
      <c r="A13" s="169" t="s">
        <v>13</v>
      </c>
      <c r="B13" s="167" t="s">
        <v>14</v>
      </c>
      <c r="C13" s="185" t="s">
        <v>15</v>
      </c>
      <c r="D13" s="191">
        <f>SUM(D17+D18+D19+D20+D21+D25+D22+D23+D26+D24+D27)</f>
        <v>222013986230</v>
      </c>
      <c r="E13" s="191">
        <f t="shared" ref="E13:G13" si="1">SUM(E17+E18+E19+E20+E21+E25+E22+E23+E26+E24+E27)</f>
        <v>210434735801.35999</v>
      </c>
      <c r="F13" s="191">
        <f>SUM(F17+F18+F19+F20+F21+F25+F22+F23+F26+F24+F27)</f>
        <v>7955959534</v>
      </c>
      <c r="G13" s="191">
        <f t="shared" si="1"/>
        <v>218390695335.35999</v>
      </c>
      <c r="H13" s="236">
        <f>G13/D13</f>
        <v>0.98367989802729638</v>
      </c>
      <c r="I13" s="209"/>
      <c r="J13" s="175"/>
      <c r="K13" s="270"/>
    </row>
    <row r="14" spans="1:15" s="176" customFormat="1" ht="25.5" customHeight="1" x14ac:dyDescent="0.25">
      <c r="A14" s="169" t="s">
        <v>16</v>
      </c>
      <c r="B14" s="167" t="s">
        <v>17</v>
      </c>
      <c r="C14" s="185" t="s">
        <v>18</v>
      </c>
      <c r="D14" s="191">
        <f>SUM(D29+D53+D58+D64+D69+D76+D80+D85+D97+D93+D44)</f>
        <v>47985440000</v>
      </c>
      <c r="E14" s="191">
        <f t="shared" ref="E14:G14" si="2">SUM(E29+E53+E58+E64+E69+E76+E80+E85+E97+E93+E44)</f>
        <v>26342147848.169998</v>
      </c>
      <c r="F14" s="191">
        <f t="shared" si="2"/>
        <v>2556446711</v>
      </c>
      <c r="G14" s="191">
        <f t="shared" si="2"/>
        <v>28898594559.169998</v>
      </c>
      <c r="H14" s="236">
        <f>G14/D14</f>
        <v>0.60223673179135162</v>
      </c>
      <c r="I14" s="209"/>
      <c r="J14" s="294"/>
      <c r="K14" s="281"/>
      <c r="L14" s="282"/>
      <c r="M14" s="282"/>
      <c r="N14" s="282"/>
      <c r="O14" s="282"/>
    </row>
    <row r="15" spans="1:15" s="176" customFormat="1" x14ac:dyDescent="0.25">
      <c r="A15" s="169"/>
      <c r="B15" s="22"/>
      <c r="C15" s="185"/>
      <c r="D15" s="191"/>
      <c r="E15" s="191"/>
      <c r="F15" s="191"/>
      <c r="G15" s="191"/>
      <c r="H15" s="236"/>
      <c r="I15" s="209"/>
      <c r="J15" s="280"/>
      <c r="K15" s="282"/>
      <c r="L15" s="282"/>
      <c r="M15" s="282"/>
      <c r="N15" s="282"/>
      <c r="O15" s="282"/>
    </row>
    <row r="16" spans="1:15" s="187" customFormat="1" ht="22.5" customHeight="1" x14ac:dyDescent="0.25">
      <c r="A16" s="23" t="s">
        <v>19</v>
      </c>
      <c r="B16" s="46" t="s">
        <v>281</v>
      </c>
      <c r="C16" s="185" t="s">
        <v>1</v>
      </c>
      <c r="D16" s="196">
        <f>SUM(D17:D27)</f>
        <v>222013986230</v>
      </c>
      <c r="E16" s="196">
        <f>SUM(E17:E27)</f>
        <v>210434735801.35999</v>
      </c>
      <c r="F16" s="196">
        <f>SUM(F17:F27)</f>
        <v>7955959534</v>
      </c>
      <c r="G16" s="191">
        <f>SUM(G17:G27)</f>
        <v>218390695335.35999</v>
      </c>
      <c r="H16" s="236">
        <f t="shared" ref="H16:H27" si="3">G16/D16</f>
        <v>0.98367989802729638</v>
      </c>
      <c r="I16" s="210"/>
      <c r="J16" s="297"/>
      <c r="K16" s="298"/>
      <c r="L16" s="279"/>
      <c r="M16" s="279"/>
      <c r="N16" s="279"/>
      <c r="O16" s="279"/>
    </row>
    <row r="17" spans="1:15" s="176" customFormat="1" ht="18.75" customHeight="1" x14ac:dyDescent="0.25">
      <c r="A17" s="188"/>
      <c r="B17" s="177" t="s">
        <v>269</v>
      </c>
      <c r="C17" s="183" t="s">
        <v>20</v>
      </c>
      <c r="D17" s="192">
        <v>4550000000</v>
      </c>
      <c r="E17" s="192">
        <f>'Realisasi Okt'!G17</f>
        <v>4098336820</v>
      </c>
      <c r="F17" s="192">
        <v>509332437</v>
      </c>
      <c r="G17" s="192">
        <f>E17+F17</f>
        <v>4607669257</v>
      </c>
      <c r="H17" s="24">
        <f t="shared" si="3"/>
        <v>1.012674561978022</v>
      </c>
      <c r="I17" s="211" t="s">
        <v>21</v>
      </c>
      <c r="J17" s="294"/>
      <c r="K17" s="296"/>
      <c r="L17" s="282"/>
      <c r="M17" s="282"/>
      <c r="N17" s="282"/>
      <c r="O17" s="282"/>
    </row>
    <row r="18" spans="1:15" s="176" customFormat="1" ht="18.75" customHeight="1" x14ac:dyDescent="0.25">
      <c r="A18" s="188"/>
      <c r="B18" s="177" t="s">
        <v>270</v>
      </c>
      <c r="C18" s="183" t="s">
        <v>22</v>
      </c>
      <c r="D18" s="192">
        <v>10000000000</v>
      </c>
      <c r="E18" s="192">
        <f>'Realisasi Okt'!G18</f>
        <v>8968177719</v>
      </c>
      <c r="F18" s="192">
        <v>1078559551</v>
      </c>
      <c r="G18" s="192">
        <f t="shared" ref="G18:G27" si="4">E18+F18</f>
        <v>10046737270</v>
      </c>
      <c r="H18" s="24">
        <f t="shared" si="3"/>
        <v>1.0046737269999999</v>
      </c>
      <c r="I18" s="212" t="s">
        <v>23</v>
      </c>
      <c r="J18" s="294"/>
      <c r="K18" s="296"/>
      <c r="L18" s="282"/>
      <c r="M18" s="282" t="s">
        <v>629</v>
      </c>
      <c r="N18" s="282"/>
      <c r="O18" s="282"/>
    </row>
    <row r="19" spans="1:15" s="176" customFormat="1" ht="18.75" customHeight="1" x14ac:dyDescent="0.25">
      <c r="A19" s="188"/>
      <c r="B19" s="177" t="s">
        <v>271</v>
      </c>
      <c r="C19" s="183" t="s">
        <v>24</v>
      </c>
      <c r="D19" s="192">
        <v>1800000000</v>
      </c>
      <c r="E19" s="192">
        <f>'Realisasi Okt'!G19</f>
        <v>1651597034</v>
      </c>
      <c r="F19" s="192">
        <v>158493737</v>
      </c>
      <c r="G19" s="192">
        <f t="shared" si="4"/>
        <v>1810090771</v>
      </c>
      <c r="H19" s="24">
        <f t="shared" si="3"/>
        <v>1.0056059838888889</v>
      </c>
      <c r="I19" s="211" t="s">
        <v>25</v>
      </c>
      <c r="J19" s="294"/>
      <c r="K19" s="296"/>
      <c r="L19" s="282"/>
      <c r="M19" s="282"/>
      <c r="N19" s="282"/>
      <c r="O19" s="282"/>
    </row>
    <row r="20" spans="1:15" s="176" customFormat="1" ht="18.75" customHeight="1" x14ac:dyDescent="0.25">
      <c r="A20" s="188"/>
      <c r="B20" s="177" t="s">
        <v>272</v>
      </c>
      <c r="C20" s="183" t="s">
        <v>26</v>
      </c>
      <c r="D20" s="192">
        <v>2900000000</v>
      </c>
      <c r="E20" s="192">
        <f>'Realisasi Okt'!G20</f>
        <v>2338445088</v>
      </c>
      <c r="F20" s="192">
        <v>315131544</v>
      </c>
      <c r="G20" s="192">
        <f t="shared" si="4"/>
        <v>2653576632</v>
      </c>
      <c r="H20" s="24">
        <f t="shared" si="3"/>
        <v>0.91502642482758623</v>
      </c>
      <c r="I20" s="211" t="s">
        <v>27</v>
      </c>
      <c r="J20" s="294"/>
      <c r="K20" s="296"/>
      <c r="L20" s="282"/>
      <c r="M20" s="282"/>
      <c r="N20" s="282"/>
      <c r="O20" s="282"/>
    </row>
    <row r="21" spans="1:15" s="176" customFormat="1" ht="18.75" customHeight="1" x14ac:dyDescent="0.25">
      <c r="A21" s="188"/>
      <c r="B21" s="177" t="s">
        <v>676</v>
      </c>
      <c r="C21" s="183" t="s">
        <v>677</v>
      </c>
      <c r="D21" s="192">
        <v>51000000000</v>
      </c>
      <c r="E21" s="192">
        <f>'Realisasi Okt'!G21</f>
        <v>44108090480.360001</v>
      </c>
      <c r="F21" s="192">
        <f>3686618911+841159966</f>
        <v>4527778877</v>
      </c>
      <c r="G21" s="192">
        <f t="shared" si="4"/>
        <v>48635869357.360001</v>
      </c>
      <c r="H21" s="24">
        <f t="shared" si="3"/>
        <v>0.95364449720313726</v>
      </c>
      <c r="I21" s="211" t="s">
        <v>28</v>
      </c>
      <c r="J21" s="294"/>
      <c r="K21" s="296"/>
      <c r="L21" s="282"/>
      <c r="M21" s="282"/>
      <c r="N21" s="282"/>
      <c r="O21" s="282"/>
    </row>
    <row r="22" spans="1:15" s="176" customFormat="1" ht="18.75" customHeight="1" x14ac:dyDescent="0.25">
      <c r="A22" s="188"/>
      <c r="B22" s="177" t="s">
        <v>273</v>
      </c>
      <c r="C22" s="183" t="s">
        <v>31</v>
      </c>
      <c r="D22" s="192">
        <v>600000000</v>
      </c>
      <c r="E22" s="192">
        <f>'Realisasi Okt'!G22</f>
        <v>644408403</v>
      </c>
      <c r="F22" s="192">
        <v>54570000</v>
      </c>
      <c r="G22" s="192">
        <f t="shared" si="4"/>
        <v>698978403</v>
      </c>
      <c r="H22" s="24">
        <f t="shared" si="3"/>
        <v>1.1649640050000001</v>
      </c>
      <c r="I22" s="213" t="s">
        <v>32</v>
      </c>
      <c r="J22" s="294"/>
      <c r="K22" s="296"/>
      <c r="L22" s="282"/>
      <c r="M22" s="282"/>
      <c r="N22" s="282"/>
      <c r="O22" s="282"/>
    </row>
    <row r="23" spans="1:15" s="176" customFormat="1" ht="18.75" customHeight="1" x14ac:dyDescent="0.25">
      <c r="A23" s="188"/>
      <c r="B23" s="177" t="s">
        <v>274</v>
      </c>
      <c r="C23" s="183" t="s">
        <v>33</v>
      </c>
      <c r="D23" s="192">
        <v>1100000000</v>
      </c>
      <c r="E23" s="192">
        <f>'Realisasi Okt'!G23</f>
        <v>939651589</v>
      </c>
      <c r="F23" s="192">
        <v>125483184</v>
      </c>
      <c r="G23" s="192">
        <f t="shared" si="4"/>
        <v>1065134773</v>
      </c>
      <c r="H23" s="24">
        <f t="shared" si="3"/>
        <v>0.96830433909090907</v>
      </c>
      <c r="I23" s="213" t="s">
        <v>34</v>
      </c>
      <c r="J23" s="294"/>
      <c r="K23" s="296"/>
      <c r="L23" s="282"/>
      <c r="M23" s="282"/>
      <c r="N23" s="282"/>
      <c r="O23" s="282"/>
    </row>
    <row r="24" spans="1:15" s="176" customFormat="1" ht="18.75" customHeight="1" x14ac:dyDescent="0.25">
      <c r="A24" s="188"/>
      <c r="B24" s="177" t="s">
        <v>275</v>
      </c>
      <c r="C24" s="183" t="s">
        <v>35</v>
      </c>
      <c r="D24" s="192">
        <v>92000000</v>
      </c>
      <c r="E24" s="192">
        <f>'Realisasi Okt'!G24</f>
        <v>92208640</v>
      </c>
      <c r="F24" s="192">
        <v>3116000</v>
      </c>
      <c r="G24" s="192">
        <f t="shared" si="4"/>
        <v>95324640</v>
      </c>
      <c r="H24" s="24">
        <f t="shared" si="3"/>
        <v>1.0361373913043479</v>
      </c>
      <c r="I24" s="213" t="s">
        <v>36</v>
      </c>
      <c r="J24" s="294"/>
      <c r="K24" s="296"/>
      <c r="L24" s="282"/>
      <c r="M24" s="282"/>
      <c r="N24" s="282"/>
      <c r="O24" s="282"/>
    </row>
    <row r="25" spans="1:15" s="176" customFormat="1" ht="18.75" customHeight="1" x14ac:dyDescent="0.25">
      <c r="A25" s="188"/>
      <c r="B25" s="177" t="s">
        <v>276</v>
      </c>
      <c r="C25" s="183" t="s">
        <v>29</v>
      </c>
      <c r="D25" s="192">
        <v>0</v>
      </c>
      <c r="E25" s="192">
        <f>'Realisasi Okt'!G25</f>
        <v>0</v>
      </c>
      <c r="F25" s="192">
        <v>0</v>
      </c>
      <c r="G25" s="192">
        <f>E25+F25</f>
        <v>0</v>
      </c>
      <c r="H25" s="252" t="e">
        <f t="shared" si="3"/>
        <v>#DIV/0!</v>
      </c>
      <c r="I25" s="214" t="s">
        <v>30</v>
      </c>
      <c r="J25" s="294"/>
      <c r="K25" s="296"/>
      <c r="L25" s="295"/>
      <c r="M25" s="295"/>
      <c r="N25" s="282"/>
      <c r="O25" s="282"/>
    </row>
    <row r="26" spans="1:15" s="176" customFormat="1" ht="18.75" customHeight="1" x14ac:dyDescent="0.25">
      <c r="A26" s="188"/>
      <c r="B26" s="177" t="s">
        <v>277</v>
      </c>
      <c r="C26" s="171" t="s">
        <v>278</v>
      </c>
      <c r="D26" s="178">
        <v>130971986230</v>
      </c>
      <c r="E26" s="192">
        <f>'Realisasi Okt'!G26</f>
        <v>134241827638</v>
      </c>
      <c r="F26" s="178">
        <v>325226938</v>
      </c>
      <c r="G26" s="192">
        <f t="shared" si="4"/>
        <v>134567054576</v>
      </c>
      <c r="H26" s="24">
        <f t="shared" si="3"/>
        <v>1.0274491396937868</v>
      </c>
      <c r="I26" s="213" t="s">
        <v>37</v>
      </c>
      <c r="J26" s="294"/>
      <c r="K26" s="296"/>
      <c r="L26" s="295"/>
      <c r="M26" s="295"/>
    </row>
    <row r="27" spans="1:15" s="176" customFormat="1" x14ac:dyDescent="0.25">
      <c r="A27" s="188"/>
      <c r="B27" s="177" t="s">
        <v>279</v>
      </c>
      <c r="C27" s="183" t="s">
        <v>38</v>
      </c>
      <c r="D27" s="178">
        <v>19000000000</v>
      </c>
      <c r="E27" s="192">
        <f>'Realisasi Okt'!G27</f>
        <v>13351992390</v>
      </c>
      <c r="F27" s="178">
        <v>858267266</v>
      </c>
      <c r="G27" s="192">
        <f t="shared" si="4"/>
        <v>14210259656</v>
      </c>
      <c r="H27" s="24">
        <f t="shared" si="3"/>
        <v>0.74790840294736838</v>
      </c>
      <c r="I27" s="215" t="s">
        <v>474</v>
      </c>
      <c r="J27" s="294"/>
      <c r="K27" s="296"/>
      <c r="L27" s="295"/>
      <c r="M27" s="295"/>
    </row>
    <row r="28" spans="1:15" s="176" customFormat="1" x14ac:dyDescent="0.25">
      <c r="A28" s="169"/>
      <c r="B28" s="22"/>
      <c r="C28" s="25"/>
      <c r="D28" s="191"/>
      <c r="E28" s="192"/>
      <c r="F28" s="191"/>
      <c r="G28" s="191"/>
      <c r="H28" s="236"/>
      <c r="I28" s="216"/>
      <c r="J28" s="294"/>
      <c r="K28" s="295"/>
    </row>
    <row r="29" spans="1:15" s="187" customFormat="1" x14ac:dyDescent="0.25">
      <c r="A29" s="26" t="s">
        <v>39</v>
      </c>
      <c r="B29" s="22" t="s">
        <v>282</v>
      </c>
      <c r="C29" s="185" t="s">
        <v>40</v>
      </c>
      <c r="D29" s="196">
        <f>D30+D38</f>
        <v>1009950000</v>
      </c>
      <c r="E29" s="196">
        <f t="shared" ref="E29:G29" si="5">E30+E38</f>
        <v>573714000</v>
      </c>
      <c r="F29" s="196">
        <f t="shared" si="5"/>
        <v>62026000</v>
      </c>
      <c r="G29" s="196">
        <f t="shared" si="5"/>
        <v>635740000</v>
      </c>
      <c r="H29" s="236">
        <f t="shared" ref="H29:H39" si="6">G29/D29</f>
        <v>0.62947670676766176</v>
      </c>
      <c r="I29" s="216"/>
      <c r="J29" s="297"/>
      <c r="K29" s="298"/>
    </row>
    <row r="30" spans="1:15" s="187" customFormat="1" x14ac:dyDescent="0.25">
      <c r="A30" s="26" t="s">
        <v>413</v>
      </c>
      <c r="B30" s="170" t="s">
        <v>288</v>
      </c>
      <c r="C30" s="185" t="s">
        <v>55</v>
      </c>
      <c r="D30" s="196">
        <f>D31+D41</f>
        <v>1000000000</v>
      </c>
      <c r="E30" s="196">
        <f t="shared" ref="E30:G30" si="7">E31+E41</f>
        <v>544714000</v>
      </c>
      <c r="F30" s="196">
        <f t="shared" si="7"/>
        <v>54026000</v>
      </c>
      <c r="G30" s="196">
        <f t="shared" si="7"/>
        <v>598740000</v>
      </c>
      <c r="H30" s="236">
        <f t="shared" si="6"/>
        <v>0.59874000000000005</v>
      </c>
      <c r="I30" s="216"/>
      <c r="J30" s="297"/>
      <c r="K30" s="298"/>
    </row>
    <row r="31" spans="1:15" s="176" customFormat="1" x14ac:dyDescent="0.25">
      <c r="A31" s="188"/>
      <c r="B31" s="179" t="s">
        <v>488</v>
      </c>
      <c r="C31" s="185" t="s">
        <v>280</v>
      </c>
      <c r="D31" s="191">
        <f>SUM(D32:D35)</f>
        <v>750000000</v>
      </c>
      <c r="E31" s="191">
        <f t="shared" ref="E31:F31" si="8">SUM(E32:E35)</f>
        <v>326501000</v>
      </c>
      <c r="F31" s="191">
        <f t="shared" si="8"/>
        <v>28376000</v>
      </c>
      <c r="G31" s="191">
        <f>SUM(G32:G35)</f>
        <v>354877000</v>
      </c>
      <c r="H31" s="236">
        <f t="shared" si="6"/>
        <v>0.47316933333333333</v>
      </c>
      <c r="I31" s="207" t="s">
        <v>41</v>
      </c>
      <c r="J31" s="294"/>
      <c r="K31" s="295"/>
    </row>
    <row r="32" spans="1:15" s="176" customFormat="1" x14ac:dyDescent="0.25">
      <c r="A32" s="188"/>
      <c r="B32" s="177" t="s">
        <v>489</v>
      </c>
      <c r="C32" s="183" t="s">
        <v>42</v>
      </c>
      <c r="D32" s="192">
        <v>220000000</v>
      </c>
      <c r="E32" s="192">
        <f>'Realisasi Okt'!G32</f>
        <v>62461000</v>
      </c>
      <c r="F32" s="192">
        <v>5531000</v>
      </c>
      <c r="G32" s="181">
        <f>E32+F32</f>
        <v>67992000</v>
      </c>
      <c r="H32" s="24">
        <f t="shared" si="6"/>
        <v>0.30905454545454547</v>
      </c>
      <c r="I32" s="207"/>
      <c r="J32" s="294"/>
      <c r="K32" s="295"/>
    </row>
    <row r="33" spans="1:10" s="176" customFormat="1" x14ac:dyDescent="0.25">
      <c r="A33" s="188"/>
      <c r="B33" s="177" t="s">
        <v>490</v>
      </c>
      <c r="C33" s="183" t="s">
        <v>43</v>
      </c>
      <c r="D33" s="192">
        <v>494000000</v>
      </c>
      <c r="E33" s="192">
        <f>'Realisasi Okt'!G33</f>
        <v>211450000</v>
      </c>
      <c r="F33" s="192">
        <v>19935000</v>
      </c>
      <c r="G33" s="181">
        <f t="shared" ref="G33:G40" si="9">E33+F33</f>
        <v>231385000</v>
      </c>
      <c r="H33" s="24">
        <f t="shared" si="6"/>
        <v>0.46839068825910929</v>
      </c>
      <c r="I33" s="207"/>
      <c r="J33" s="175"/>
    </row>
    <row r="34" spans="1:10" s="176" customFormat="1" x14ac:dyDescent="0.25">
      <c r="A34" s="188"/>
      <c r="B34" s="177" t="s">
        <v>491</v>
      </c>
      <c r="C34" s="183" t="s">
        <v>44</v>
      </c>
      <c r="D34" s="192">
        <v>36000000</v>
      </c>
      <c r="E34" s="192">
        <f>'Realisasi Okt'!G34</f>
        <v>52590000</v>
      </c>
      <c r="F34" s="192">
        <v>2910000</v>
      </c>
      <c r="G34" s="181">
        <f t="shared" si="9"/>
        <v>55500000</v>
      </c>
      <c r="H34" s="24">
        <f t="shared" si="6"/>
        <v>1.5416666666666667</v>
      </c>
      <c r="I34" s="207"/>
      <c r="J34" s="175"/>
    </row>
    <row r="35" spans="1:10" s="176" customFormat="1" hidden="1" x14ac:dyDescent="0.25">
      <c r="A35" s="188"/>
      <c r="B35" s="177"/>
      <c r="C35" s="183" t="s">
        <v>45</v>
      </c>
      <c r="D35" s="192"/>
      <c r="E35" s="192"/>
      <c r="F35" s="192"/>
      <c r="G35" s="181">
        <f t="shared" si="9"/>
        <v>0</v>
      </c>
      <c r="H35" s="24" t="e">
        <f t="shared" si="6"/>
        <v>#DIV/0!</v>
      </c>
      <c r="I35" s="207"/>
      <c r="J35" s="175"/>
    </row>
    <row r="36" spans="1:10" s="176" customFormat="1" ht="20.25" customHeight="1" x14ac:dyDescent="0.25">
      <c r="A36" s="188"/>
      <c r="B36" s="177"/>
      <c r="C36" s="183"/>
      <c r="D36" s="192"/>
      <c r="E36" s="192"/>
      <c r="F36" s="192"/>
      <c r="G36" s="181"/>
      <c r="H36" s="24"/>
      <c r="I36" s="207"/>
      <c r="J36" s="175"/>
    </row>
    <row r="37" spans="1:10" s="176" customFormat="1" ht="15" customHeight="1" x14ac:dyDescent="0.25">
      <c r="A37" s="188"/>
      <c r="B37" s="177"/>
      <c r="C37" s="185" t="s">
        <v>60</v>
      </c>
      <c r="D37" s="192"/>
      <c r="E37" s="192"/>
      <c r="F37" s="192"/>
      <c r="G37" s="181"/>
      <c r="H37" s="24"/>
      <c r="I37" s="207"/>
      <c r="J37" s="175"/>
    </row>
    <row r="38" spans="1:10" s="176" customFormat="1" ht="15" customHeight="1" x14ac:dyDescent="0.25">
      <c r="A38" s="188"/>
      <c r="B38" s="179" t="s">
        <v>305</v>
      </c>
      <c r="C38" s="385" t="s">
        <v>70</v>
      </c>
      <c r="D38" s="191">
        <f>D39</f>
        <v>9950000</v>
      </c>
      <c r="E38" s="191">
        <f t="shared" ref="E38:G38" si="10">E39</f>
        <v>29000000</v>
      </c>
      <c r="F38" s="191">
        <f t="shared" si="10"/>
        <v>8000000</v>
      </c>
      <c r="G38" s="196">
        <f t="shared" si="10"/>
        <v>37000000</v>
      </c>
      <c r="H38" s="236">
        <f t="shared" si="6"/>
        <v>3.7185929648241207</v>
      </c>
      <c r="I38" s="207"/>
      <c r="J38" s="175"/>
    </row>
    <row r="39" spans="1:10" s="176" customFormat="1" ht="15" customHeight="1" x14ac:dyDescent="0.25">
      <c r="A39" s="188"/>
      <c r="B39" s="177" t="s">
        <v>511</v>
      </c>
      <c r="C39" s="166" t="s">
        <v>70</v>
      </c>
      <c r="D39" s="192">
        <v>9950000</v>
      </c>
      <c r="E39" s="192">
        <f>'Realisasi Okt'!G39</f>
        <v>29000000</v>
      </c>
      <c r="F39" s="192">
        <v>8000000</v>
      </c>
      <c r="G39" s="181">
        <f t="shared" si="9"/>
        <v>37000000</v>
      </c>
      <c r="H39" s="24">
        <f t="shared" si="6"/>
        <v>3.7185929648241207</v>
      </c>
      <c r="I39" s="207"/>
      <c r="J39" s="175"/>
    </row>
    <row r="40" spans="1:10" s="176" customFormat="1" ht="15" customHeight="1" x14ac:dyDescent="0.25">
      <c r="A40" s="188"/>
      <c r="B40" s="177"/>
      <c r="C40" s="166"/>
      <c r="D40" s="192"/>
      <c r="E40" s="192"/>
      <c r="F40" s="192"/>
      <c r="G40" s="181">
        <f t="shared" si="9"/>
        <v>0</v>
      </c>
      <c r="H40" s="24"/>
      <c r="I40" s="207"/>
      <c r="J40" s="175"/>
    </row>
    <row r="41" spans="1:10" s="187" customFormat="1" x14ac:dyDescent="0.25">
      <c r="A41" s="26" t="s">
        <v>414</v>
      </c>
      <c r="B41" s="170" t="s">
        <v>492</v>
      </c>
      <c r="C41" s="185" t="s">
        <v>494</v>
      </c>
      <c r="D41" s="196">
        <f>D42</f>
        <v>250000000</v>
      </c>
      <c r="E41" s="196">
        <f t="shared" ref="E41:G41" si="11">E42</f>
        <v>218213000</v>
      </c>
      <c r="F41" s="196">
        <f t="shared" si="11"/>
        <v>25650000</v>
      </c>
      <c r="G41" s="196">
        <f t="shared" si="11"/>
        <v>243863000</v>
      </c>
      <c r="H41" s="236">
        <f>G41/D41</f>
        <v>0.97545199999999999</v>
      </c>
      <c r="I41" s="216"/>
      <c r="J41" s="186"/>
    </row>
    <row r="42" spans="1:10" s="176" customFormat="1" x14ac:dyDescent="0.25">
      <c r="A42" s="188"/>
      <c r="B42" s="177" t="s">
        <v>493</v>
      </c>
      <c r="C42" s="183" t="s">
        <v>724</v>
      </c>
      <c r="D42" s="192">
        <v>250000000</v>
      </c>
      <c r="E42" s="192">
        <f>'Realisasi Okt'!G42</f>
        <v>218213000</v>
      </c>
      <c r="F42" s="192">
        <v>25650000</v>
      </c>
      <c r="G42" s="181">
        <f>E42+F42</f>
        <v>243863000</v>
      </c>
      <c r="H42" s="24">
        <f>G42/D42</f>
        <v>0.97545199999999999</v>
      </c>
      <c r="I42" s="207" t="s">
        <v>41</v>
      </c>
      <c r="J42" s="175"/>
    </row>
    <row r="43" spans="1:10" s="176" customFormat="1" ht="15" customHeight="1" x14ac:dyDescent="0.25">
      <c r="A43" s="188"/>
      <c r="B43" s="177"/>
      <c r="C43" s="166"/>
      <c r="D43" s="192"/>
      <c r="E43" s="192"/>
      <c r="F43" s="192"/>
      <c r="G43" s="192"/>
      <c r="H43" s="24"/>
      <c r="I43" s="207"/>
      <c r="J43" s="175"/>
    </row>
    <row r="44" spans="1:10" s="176" customFormat="1" x14ac:dyDescent="0.25">
      <c r="A44" s="168" t="s">
        <v>46</v>
      </c>
      <c r="B44" s="22" t="s">
        <v>592</v>
      </c>
      <c r="C44" s="185" t="s">
        <v>594</v>
      </c>
      <c r="D44" s="196">
        <f>D45+D51</f>
        <v>15125050000</v>
      </c>
      <c r="E44" s="196">
        <f t="shared" ref="E44:G44" si="12">E45+E51</f>
        <v>5207978048.1700001</v>
      </c>
      <c r="F44" s="196">
        <f t="shared" si="12"/>
        <v>213315161</v>
      </c>
      <c r="G44" s="196">
        <f t="shared" si="12"/>
        <v>5421293209.1700001</v>
      </c>
      <c r="H44" s="236">
        <f t="shared" ref="H44:H51" si="13">G44/D44</f>
        <v>0.35843142397347449</v>
      </c>
      <c r="I44" s="207"/>
      <c r="J44" s="175"/>
    </row>
    <row r="45" spans="1:10" s="176" customFormat="1" x14ac:dyDescent="0.25">
      <c r="A45" s="188"/>
      <c r="B45" s="170" t="s">
        <v>285</v>
      </c>
      <c r="C45" s="185" t="s">
        <v>444</v>
      </c>
      <c r="D45" s="191">
        <f>D46</f>
        <v>135000000</v>
      </c>
      <c r="E45" s="191">
        <f t="shared" ref="E45:G45" si="14">E46</f>
        <v>141400000</v>
      </c>
      <c r="F45" s="191">
        <f t="shared" si="14"/>
        <v>8000000</v>
      </c>
      <c r="G45" s="191">
        <f t="shared" si="14"/>
        <v>149400000</v>
      </c>
      <c r="H45" s="236">
        <f t="shared" si="13"/>
        <v>1.1066666666666667</v>
      </c>
      <c r="I45" s="207"/>
      <c r="J45" s="175"/>
    </row>
    <row r="46" spans="1:10" s="187" customFormat="1" x14ac:dyDescent="0.25">
      <c r="A46" s="169"/>
      <c r="B46" s="170" t="s">
        <v>284</v>
      </c>
      <c r="C46" s="185" t="s">
        <v>595</v>
      </c>
      <c r="D46" s="191">
        <f>SUM(D47)</f>
        <v>135000000</v>
      </c>
      <c r="E46" s="191">
        <f t="shared" ref="E46:G46" si="15">SUM(E47)</f>
        <v>141400000</v>
      </c>
      <c r="F46" s="191">
        <f t="shared" si="15"/>
        <v>8000000</v>
      </c>
      <c r="G46" s="191">
        <f t="shared" si="15"/>
        <v>149400000</v>
      </c>
      <c r="H46" s="236">
        <f t="shared" si="13"/>
        <v>1.1066666666666667</v>
      </c>
      <c r="I46" s="216"/>
      <c r="J46" s="186"/>
    </row>
    <row r="47" spans="1:10" s="176" customFormat="1" x14ac:dyDescent="0.25">
      <c r="A47" s="188"/>
      <c r="B47" s="170" t="s">
        <v>593</v>
      </c>
      <c r="C47" s="185" t="s">
        <v>595</v>
      </c>
      <c r="D47" s="191">
        <f>SUM(D48:D49)</f>
        <v>135000000</v>
      </c>
      <c r="E47" s="191">
        <f t="shared" ref="E47:G47" si="16">SUM(E48:E49)</f>
        <v>141400000</v>
      </c>
      <c r="F47" s="191">
        <f t="shared" si="16"/>
        <v>8000000</v>
      </c>
      <c r="G47" s="191">
        <f t="shared" si="16"/>
        <v>149400000</v>
      </c>
      <c r="H47" s="236">
        <f t="shared" si="13"/>
        <v>1.1066666666666667</v>
      </c>
      <c r="I47" s="207" t="s">
        <v>47</v>
      </c>
      <c r="J47" s="175"/>
    </row>
    <row r="48" spans="1:10" s="176" customFormat="1" x14ac:dyDescent="0.25">
      <c r="A48" s="188"/>
      <c r="B48" s="178"/>
      <c r="C48" s="193" t="s">
        <v>316</v>
      </c>
      <c r="D48" s="192">
        <v>5000000</v>
      </c>
      <c r="E48" s="192">
        <f>'Realisasi Okt'!G48</f>
        <v>1800000</v>
      </c>
      <c r="F48" s="192">
        <v>0</v>
      </c>
      <c r="G48" s="192">
        <f>E48+F48</f>
        <v>1800000</v>
      </c>
      <c r="H48" s="24">
        <f t="shared" si="13"/>
        <v>0.36</v>
      </c>
      <c r="I48" s="207"/>
      <c r="J48" s="175"/>
    </row>
    <row r="49" spans="1:11" s="176" customFormat="1" x14ac:dyDescent="0.25">
      <c r="A49" s="188"/>
      <c r="B49" s="178"/>
      <c r="C49" s="193" t="s">
        <v>317</v>
      </c>
      <c r="D49" s="192">
        <v>130000000</v>
      </c>
      <c r="E49" s="192">
        <f>'Realisasi Okt'!G49</f>
        <v>139600000</v>
      </c>
      <c r="F49" s="192">
        <v>8000000</v>
      </c>
      <c r="G49" s="192">
        <f>E49+F49</f>
        <v>147600000</v>
      </c>
      <c r="H49" s="24">
        <f t="shared" si="13"/>
        <v>1.1353846153846154</v>
      </c>
      <c r="I49" s="207"/>
      <c r="J49" s="175"/>
    </row>
    <row r="50" spans="1:11" s="176" customFormat="1" ht="15" customHeight="1" x14ac:dyDescent="0.25">
      <c r="A50" s="188"/>
      <c r="B50" s="177"/>
      <c r="C50" s="185" t="s">
        <v>60</v>
      </c>
      <c r="D50" s="192"/>
      <c r="E50" s="192"/>
      <c r="F50" s="192"/>
      <c r="G50" s="192"/>
      <c r="H50" s="24"/>
      <c r="I50" s="207"/>
      <c r="J50" s="175"/>
    </row>
    <row r="51" spans="1:11" s="176" customFormat="1" ht="15" customHeight="1" x14ac:dyDescent="0.25">
      <c r="A51" s="188"/>
      <c r="B51" s="177"/>
      <c r="C51" s="395" t="s">
        <v>692</v>
      </c>
      <c r="D51" s="191">
        <v>14990050000</v>
      </c>
      <c r="E51" s="191">
        <f>'Realisasi Okt'!G51</f>
        <v>5066578048.1700001</v>
      </c>
      <c r="F51" s="191">
        <v>205315161</v>
      </c>
      <c r="G51" s="191">
        <f>E51+F51</f>
        <v>5271893209.1700001</v>
      </c>
      <c r="H51" s="236">
        <f t="shared" si="13"/>
        <v>0.35169283685978364</v>
      </c>
      <c r="I51" s="207"/>
      <c r="J51" s="175"/>
    </row>
    <row r="52" spans="1:11" s="176" customFormat="1" ht="15" customHeight="1" x14ac:dyDescent="0.25">
      <c r="A52" s="188"/>
      <c r="B52" s="177"/>
      <c r="C52" s="166"/>
      <c r="D52" s="192"/>
      <c r="E52" s="192"/>
      <c r="F52" s="192"/>
      <c r="G52" s="192"/>
      <c r="H52" s="24"/>
      <c r="I52" s="207"/>
      <c r="J52" s="175"/>
    </row>
    <row r="53" spans="1:11" s="176" customFormat="1" x14ac:dyDescent="0.25">
      <c r="A53" s="168" t="s">
        <v>8</v>
      </c>
      <c r="B53" s="22" t="s">
        <v>283</v>
      </c>
      <c r="C53" s="185" t="s">
        <v>48</v>
      </c>
      <c r="D53" s="196">
        <f>SUM(D54)</f>
        <v>50000000</v>
      </c>
      <c r="E53" s="196">
        <f t="shared" ref="E53:G53" si="17">SUM(E54)</f>
        <v>24600000</v>
      </c>
      <c r="F53" s="196">
        <f t="shared" si="17"/>
        <v>1800000</v>
      </c>
      <c r="G53" s="196">
        <f t="shared" si="17"/>
        <v>26400000</v>
      </c>
      <c r="H53" s="236">
        <f>G53/D53</f>
        <v>0.52800000000000002</v>
      </c>
      <c r="I53" s="207"/>
      <c r="J53" s="175"/>
    </row>
    <row r="54" spans="1:11" s="176" customFormat="1" x14ac:dyDescent="0.25">
      <c r="A54" s="188"/>
      <c r="B54" s="170" t="s">
        <v>285</v>
      </c>
      <c r="C54" s="185" t="s">
        <v>444</v>
      </c>
      <c r="D54" s="191">
        <f>D55</f>
        <v>50000000</v>
      </c>
      <c r="E54" s="191">
        <f t="shared" ref="E54:G54" si="18">E55</f>
        <v>24600000</v>
      </c>
      <c r="F54" s="191">
        <f t="shared" si="18"/>
        <v>1800000</v>
      </c>
      <c r="G54" s="191">
        <f t="shared" si="18"/>
        <v>26400000</v>
      </c>
      <c r="H54" s="236">
        <f>G54/D54</f>
        <v>0.52800000000000002</v>
      </c>
      <c r="I54" s="207"/>
      <c r="J54" s="175"/>
    </row>
    <row r="55" spans="1:11" s="187" customFormat="1" x14ac:dyDescent="0.25">
      <c r="A55" s="169"/>
      <c r="B55" s="170" t="s">
        <v>284</v>
      </c>
      <c r="C55" s="185" t="s">
        <v>286</v>
      </c>
      <c r="D55" s="191">
        <f>SUM(D56)</f>
        <v>50000000</v>
      </c>
      <c r="E55" s="191">
        <f t="shared" ref="E55:G55" si="19">SUM(E56)</f>
        <v>24600000</v>
      </c>
      <c r="F55" s="191">
        <f t="shared" si="19"/>
        <v>1800000</v>
      </c>
      <c r="G55" s="191">
        <f t="shared" si="19"/>
        <v>26400000</v>
      </c>
      <c r="H55" s="236">
        <f>G55/D55</f>
        <v>0.52800000000000002</v>
      </c>
      <c r="I55" s="216"/>
      <c r="J55" s="186"/>
    </row>
    <row r="56" spans="1:11" s="176" customFormat="1" x14ac:dyDescent="0.25">
      <c r="A56" s="188"/>
      <c r="B56" s="178" t="s">
        <v>496</v>
      </c>
      <c r="C56" s="183" t="s">
        <v>497</v>
      </c>
      <c r="D56" s="192">
        <v>50000000</v>
      </c>
      <c r="E56" s="192">
        <f>'Realisasi Okt'!G56</f>
        <v>24600000</v>
      </c>
      <c r="F56" s="192">
        <f>'[1]2022'!$G$82</f>
        <v>1800000</v>
      </c>
      <c r="G56" s="181">
        <f>E56+F56</f>
        <v>26400000</v>
      </c>
      <c r="H56" s="24">
        <f>G56/D56</f>
        <v>0.52800000000000002</v>
      </c>
      <c r="I56" s="207" t="s">
        <v>47</v>
      </c>
      <c r="J56" s="175"/>
    </row>
    <row r="57" spans="1:11" s="176" customFormat="1" x14ac:dyDescent="0.25">
      <c r="A57" s="169"/>
      <c r="B57" s="22"/>
      <c r="C57" s="25"/>
      <c r="D57" s="192"/>
      <c r="E57" s="192"/>
      <c r="F57" s="192"/>
      <c r="G57" s="191"/>
      <c r="H57" s="236"/>
      <c r="I57" s="207"/>
      <c r="J57" s="175"/>
    </row>
    <row r="58" spans="1:11" s="176" customFormat="1" x14ac:dyDescent="0.25">
      <c r="A58" s="168" t="s">
        <v>49</v>
      </c>
      <c r="B58" s="22" t="s">
        <v>287</v>
      </c>
      <c r="C58" s="185" t="s">
        <v>50</v>
      </c>
      <c r="D58" s="196">
        <f>D59</f>
        <v>750000000</v>
      </c>
      <c r="E58" s="196">
        <f t="shared" ref="E58:G60" si="20">E59</f>
        <v>546040000</v>
      </c>
      <c r="F58" s="196">
        <f t="shared" si="20"/>
        <v>60140000</v>
      </c>
      <c r="G58" s="196">
        <f t="shared" si="20"/>
        <v>606180000</v>
      </c>
      <c r="H58" s="236">
        <f>G58/D58</f>
        <v>0.80823999999999996</v>
      </c>
      <c r="I58" s="207"/>
      <c r="J58" s="175"/>
    </row>
    <row r="59" spans="1:11" s="187" customFormat="1" x14ac:dyDescent="0.25">
      <c r="A59" s="169"/>
      <c r="B59" s="170" t="s">
        <v>288</v>
      </c>
      <c r="C59" s="185" t="s">
        <v>55</v>
      </c>
      <c r="D59" s="191">
        <f>D60</f>
        <v>750000000</v>
      </c>
      <c r="E59" s="191">
        <f t="shared" si="20"/>
        <v>546040000</v>
      </c>
      <c r="F59" s="191">
        <f t="shared" si="20"/>
        <v>60140000</v>
      </c>
      <c r="G59" s="191">
        <f t="shared" si="20"/>
        <v>606180000</v>
      </c>
      <c r="H59" s="236">
        <f>G59/D59</f>
        <v>0.80823999999999996</v>
      </c>
      <c r="I59" s="216" t="s">
        <v>52</v>
      </c>
      <c r="J59" s="186"/>
    </row>
    <row r="60" spans="1:11" s="176" customFormat="1" x14ac:dyDescent="0.25">
      <c r="A60" s="188"/>
      <c r="B60" s="170" t="s">
        <v>499</v>
      </c>
      <c r="C60" s="185" t="s">
        <v>51</v>
      </c>
      <c r="D60" s="191">
        <f>D61</f>
        <v>750000000</v>
      </c>
      <c r="E60" s="191">
        <f t="shared" si="20"/>
        <v>546040000</v>
      </c>
      <c r="F60" s="191">
        <f t="shared" si="20"/>
        <v>60140000</v>
      </c>
      <c r="G60" s="191">
        <f t="shared" si="20"/>
        <v>606180000</v>
      </c>
      <c r="H60" s="236">
        <f>G60/D60</f>
        <v>0.80823999999999996</v>
      </c>
      <c r="I60" s="207"/>
      <c r="J60" s="175"/>
    </row>
    <row r="61" spans="1:11" s="176" customFormat="1" x14ac:dyDescent="0.25">
      <c r="A61" s="188"/>
      <c r="B61" s="178" t="s">
        <v>498</v>
      </c>
      <c r="C61" s="183" t="s">
        <v>51</v>
      </c>
      <c r="D61" s="192">
        <v>750000000</v>
      </c>
      <c r="E61" s="192">
        <f>'Realisasi Okt'!G61</f>
        <v>546040000</v>
      </c>
      <c r="F61" s="192">
        <v>60140000</v>
      </c>
      <c r="G61" s="192">
        <f>E61+F61</f>
        <v>606180000</v>
      </c>
      <c r="H61" s="24">
        <f>G61/D61</f>
        <v>0.80823999999999996</v>
      </c>
      <c r="I61" s="207"/>
      <c r="J61" s="175"/>
      <c r="K61" s="270"/>
    </row>
    <row r="62" spans="1:11" s="176" customFormat="1" x14ac:dyDescent="0.25">
      <c r="A62" s="169"/>
      <c r="B62" s="22"/>
      <c r="C62" s="25"/>
      <c r="D62" s="191"/>
      <c r="E62" s="191"/>
      <c r="F62" s="191"/>
      <c r="G62" s="191"/>
      <c r="H62" s="236"/>
      <c r="I62" s="217"/>
      <c r="J62" s="175"/>
    </row>
    <row r="63" spans="1:11" s="176" customFormat="1" x14ac:dyDescent="0.25">
      <c r="A63" s="168" t="s">
        <v>53</v>
      </c>
      <c r="B63" s="22" t="s">
        <v>289</v>
      </c>
      <c r="C63" s="185" t="s">
        <v>54</v>
      </c>
      <c r="D63" s="196">
        <f>D64+D69+D76</f>
        <v>30000000000</v>
      </c>
      <c r="E63" s="196">
        <f t="shared" ref="E63:G63" si="21">E64+E69+E76</f>
        <v>19679289100</v>
      </c>
      <c r="F63" s="196">
        <f t="shared" si="21"/>
        <v>2176965550</v>
      </c>
      <c r="G63" s="196">
        <f t="shared" si="21"/>
        <v>21856254650</v>
      </c>
      <c r="H63" s="236">
        <f t="shared" ref="H63:H78" si="22">G63/D63</f>
        <v>0.7285418216666667</v>
      </c>
      <c r="I63" s="209"/>
      <c r="J63" s="175"/>
    </row>
    <row r="64" spans="1:11" s="187" customFormat="1" x14ac:dyDescent="0.25">
      <c r="A64" s="169" t="s">
        <v>413</v>
      </c>
      <c r="B64" s="170" t="s">
        <v>288</v>
      </c>
      <c r="C64" s="185" t="s">
        <v>55</v>
      </c>
      <c r="D64" s="191">
        <f>D65+D67</f>
        <v>1829475000</v>
      </c>
      <c r="E64" s="191">
        <f t="shared" ref="E64:G64" si="23">E65+E67</f>
        <v>463238350</v>
      </c>
      <c r="F64" s="191">
        <f t="shared" si="23"/>
        <v>58751150</v>
      </c>
      <c r="G64" s="191">
        <f t="shared" si="23"/>
        <v>521989500</v>
      </c>
      <c r="H64" s="236">
        <f t="shared" si="22"/>
        <v>0.28532201861189688</v>
      </c>
      <c r="I64" s="207"/>
      <c r="J64" s="186"/>
    </row>
    <row r="65" spans="1:10" s="187" customFormat="1" x14ac:dyDescent="0.25">
      <c r="A65" s="169"/>
      <c r="B65" s="170" t="s">
        <v>290</v>
      </c>
      <c r="C65" s="185" t="s">
        <v>56</v>
      </c>
      <c r="D65" s="191">
        <f>D66</f>
        <v>1000000000</v>
      </c>
      <c r="E65" s="191">
        <f t="shared" ref="E65:G65" si="24">E66</f>
        <v>327510000</v>
      </c>
      <c r="F65" s="191">
        <f t="shared" si="24"/>
        <v>41700000</v>
      </c>
      <c r="G65" s="191">
        <f t="shared" si="24"/>
        <v>369210000</v>
      </c>
      <c r="H65" s="236">
        <f t="shared" si="22"/>
        <v>0.36920999999999998</v>
      </c>
      <c r="I65" s="207"/>
      <c r="J65" s="186"/>
    </row>
    <row r="66" spans="1:10" s="176" customFormat="1" x14ac:dyDescent="0.25">
      <c r="A66" s="188"/>
      <c r="B66" s="178" t="s">
        <v>500</v>
      </c>
      <c r="C66" s="183" t="s">
        <v>56</v>
      </c>
      <c r="D66" s="192">
        <v>1000000000</v>
      </c>
      <c r="E66" s="192">
        <f>'Realisasi Okt'!G66</f>
        <v>327510000</v>
      </c>
      <c r="F66" s="192">
        <f>[4]NOV!$C$54</f>
        <v>41700000</v>
      </c>
      <c r="G66" s="192">
        <f>E66+F66</f>
        <v>369210000</v>
      </c>
      <c r="H66" s="24">
        <f t="shared" si="22"/>
        <v>0.36920999999999998</v>
      </c>
      <c r="I66" s="207" t="s">
        <v>57</v>
      </c>
      <c r="J66" s="175"/>
    </row>
    <row r="67" spans="1:10" s="176" customFormat="1" x14ac:dyDescent="0.25">
      <c r="A67" s="188"/>
      <c r="B67" s="170" t="s">
        <v>291</v>
      </c>
      <c r="C67" s="185" t="s">
        <v>292</v>
      </c>
      <c r="D67" s="191">
        <f>D68</f>
        <v>829475000</v>
      </c>
      <c r="E67" s="191">
        <f t="shared" ref="E67:G67" si="25">E68</f>
        <v>135728350</v>
      </c>
      <c r="F67" s="191">
        <f t="shared" si="25"/>
        <v>17051150</v>
      </c>
      <c r="G67" s="191">
        <f t="shared" si="25"/>
        <v>152779500</v>
      </c>
      <c r="H67" s="236">
        <f t="shared" si="22"/>
        <v>0.18418819132583863</v>
      </c>
      <c r="I67" s="207"/>
      <c r="J67" s="175"/>
    </row>
    <row r="68" spans="1:10" s="187" customFormat="1" ht="22.5" customHeight="1" x14ac:dyDescent="0.25">
      <c r="A68" s="169"/>
      <c r="B68" s="178" t="s">
        <v>501</v>
      </c>
      <c r="C68" s="183" t="s">
        <v>292</v>
      </c>
      <c r="D68" s="192">
        <v>829475000</v>
      </c>
      <c r="E68" s="192">
        <f>'Realisasi Okt'!G68</f>
        <v>135728350</v>
      </c>
      <c r="F68" s="192">
        <f>[4]NOV!$I$54</f>
        <v>17051150</v>
      </c>
      <c r="G68" s="192">
        <f>E68+F68</f>
        <v>152779500</v>
      </c>
      <c r="H68" s="24">
        <f t="shared" si="22"/>
        <v>0.18418819132583863</v>
      </c>
      <c r="I68" s="207" t="s">
        <v>58</v>
      </c>
      <c r="J68" s="186"/>
    </row>
    <row r="69" spans="1:10" s="176" customFormat="1" x14ac:dyDescent="0.25">
      <c r="A69" s="169" t="s">
        <v>414</v>
      </c>
      <c r="B69" s="170" t="s">
        <v>285</v>
      </c>
      <c r="C69" s="185" t="s">
        <v>444</v>
      </c>
      <c r="D69" s="191">
        <f>D70+D72+D74</f>
        <v>28168525000</v>
      </c>
      <c r="E69" s="191">
        <f t="shared" ref="E69:G69" si="26">E70+E72+E74</f>
        <v>19216000750</v>
      </c>
      <c r="F69" s="191">
        <f t="shared" si="26"/>
        <v>2118214400</v>
      </c>
      <c r="G69" s="191">
        <f t="shared" si="26"/>
        <v>21334215150</v>
      </c>
      <c r="H69" s="236">
        <f t="shared" si="22"/>
        <v>0.75737778779684062</v>
      </c>
      <c r="I69" s="207" t="s">
        <v>59</v>
      </c>
      <c r="J69" s="175"/>
    </row>
    <row r="70" spans="1:10" s="176" customFormat="1" x14ac:dyDescent="0.25">
      <c r="A70" s="169"/>
      <c r="B70" s="170" t="s">
        <v>293</v>
      </c>
      <c r="C70" s="185" t="s">
        <v>502</v>
      </c>
      <c r="D70" s="191">
        <f>D71</f>
        <v>74722500</v>
      </c>
      <c r="E70" s="191">
        <f t="shared" ref="E70:G70" si="27">E71</f>
        <v>107942000</v>
      </c>
      <c r="F70" s="191">
        <f t="shared" si="27"/>
        <v>14986000</v>
      </c>
      <c r="G70" s="191">
        <f t="shared" si="27"/>
        <v>122928000</v>
      </c>
      <c r="H70" s="236">
        <f t="shared" si="22"/>
        <v>1.6451269697882165</v>
      </c>
      <c r="I70" s="207"/>
      <c r="J70" s="175"/>
    </row>
    <row r="71" spans="1:10" s="176" customFormat="1" x14ac:dyDescent="0.25">
      <c r="A71" s="188"/>
      <c r="B71" s="178" t="s">
        <v>503</v>
      </c>
      <c r="C71" s="183" t="s">
        <v>504</v>
      </c>
      <c r="D71" s="192">
        <v>74722500</v>
      </c>
      <c r="E71" s="192">
        <f>'Realisasi Okt'!G71</f>
        <v>107942000</v>
      </c>
      <c r="F71" s="192">
        <f>[4]NOV!$K$54</f>
        <v>14986000</v>
      </c>
      <c r="G71" s="192">
        <f>E71+F71</f>
        <v>122928000</v>
      </c>
      <c r="H71" s="24">
        <f t="shared" si="22"/>
        <v>1.6451269697882165</v>
      </c>
      <c r="I71" s="207"/>
      <c r="J71" s="175"/>
    </row>
    <row r="72" spans="1:10" s="176" customFormat="1" x14ac:dyDescent="0.25">
      <c r="A72" s="169"/>
      <c r="B72" s="170" t="s">
        <v>294</v>
      </c>
      <c r="C72" s="185" t="s">
        <v>295</v>
      </c>
      <c r="D72" s="191">
        <f>D73</f>
        <v>27808802500</v>
      </c>
      <c r="E72" s="191">
        <f t="shared" ref="E72:G72" si="28">E73</f>
        <v>19011949300</v>
      </c>
      <c r="F72" s="191">
        <f t="shared" si="28"/>
        <v>2087904000</v>
      </c>
      <c r="G72" s="191">
        <f t="shared" si="28"/>
        <v>21099853300</v>
      </c>
      <c r="H72" s="236">
        <f t="shared" si="22"/>
        <v>0.75874728154871107</v>
      </c>
      <c r="I72" s="218"/>
      <c r="J72" s="175"/>
    </row>
    <row r="73" spans="1:10" s="176" customFormat="1" x14ac:dyDescent="0.25">
      <c r="A73" s="188"/>
      <c r="B73" s="178" t="s">
        <v>505</v>
      </c>
      <c r="C73" s="183" t="s">
        <v>295</v>
      </c>
      <c r="D73" s="192">
        <v>27808802500</v>
      </c>
      <c r="E73" s="192">
        <f>'Realisasi Okt'!G73</f>
        <v>19011949300</v>
      </c>
      <c r="F73" s="192">
        <f>[4]NOV!$Q$54</f>
        <v>2087904000</v>
      </c>
      <c r="G73" s="192">
        <f>E73+F73</f>
        <v>21099853300</v>
      </c>
      <c r="H73" s="24">
        <f t="shared" si="22"/>
        <v>0.75874728154871107</v>
      </c>
      <c r="I73" s="218"/>
      <c r="J73" s="175"/>
    </row>
    <row r="74" spans="1:10" s="176" customFormat="1" x14ac:dyDescent="0.25">
      <c r="A74" s="188"/>
      <c r="B74" s="170" t="s">
        <v>296</v>
      </c>
      <c r="C74" s="185" t="s">
        <v>297</v>
      </c>
      <c r="D74" s="191">
        <f>SUM(D75)</f>
        <v>285000000</v>
      </c>
      <c r="E74" s="191">
        <f t="shared" ref="E74:G74" si="29">SUM(E75)</f>
        <v>96109450</v>
      </c>
      <c r="F74" s="191">
        <f t="shared" si="29"/>
        <v>15324400</v>
      </c>
      <c r="G74" s="191">
        <f t="shared" si="29"/>
        <v>111433850</v>
      </c>
      <c r="H74" s="24">
        <f t="shared" si="22"/>
        <v>0.39099596491228072</v>
      </c>
      <c r="I74" s="218"/>
      <c r="J74" s="175"/>
    </row>
    <row r="75" spans="1:10" s="176" customFormat="1" x14ac:dyDescent="0.25">
      <c r="A75" s="188"/>
      <c r="B75" s="178" t="s">
        <v>506</v>
      </c>
      <c r="C75" s="183" t="s">
        <v>297</v>
      </c>
      <c r="D75" s="192">
        <v>285000000</v>
      </c>
      <c r="E75" s="192">
        <f>'Realisasi Okt'!G75</f>
        <v>96109450</v>
      </c>
      <c r="F75" s="192">
        <f>[4]NOV!$S$54</f>
        <v>15324400</v>
      </c>
      <c r="G75" s="192">
        <f>E75+F75</f>
        <v>111433850</v>
      </c>
      <c r="H75" s="24">
        <f t="shared" si="22"/>
        <v>0.39099596491228072</v>
      </c>
      <c r="I75" s="218"/>
      <c r="J75" s="175"/>
    </row>
    <row r="76" spans="1:10" s="176" customFormat="1" x14ac:dyDescent="0.25">
      <c r="A76" s="169" t="s">
        <v>415</v>
      </c>
      <c r="B76" s="170" t="s">
        <v>298</v>
      </c>
      <c r="C76" s="185" t="s">
        <v>60</v>
      </c>
      <c r="D76" s="191">
        <f>SUM(D77)</f>
        <v>2000000</v>
      </c>
      <c r="E76" s="191">
        <f t="shared" ref="E76:G76" si="30">SUM(E77)</f>
        <v>50000</v>
      </c>
      <c r="F76" s="191">
        <f t="shared" si="30"/>
        <v>0</v>
      </c>
      <c r="G76" s="191">
        <f t="shared" si="30"/>
        <v>50000</v>
      </c>
      <c r="H76" s="236">
        <f t="shared" si="22"/>
        <v>2.5000000000000001E-2</v>
      </c>
      <c r="I76" s="207" t="s">
        <v>61</v>
      </c>
      <c r="J76" s="175"/>
    </row>
    <row r="77" spans="1:10" s="187" customFormat="1" x14ac:dyDescent="0.25">
      <c r="A77" s="169"/>
      <c r="B77" s="170" t="s">
        <v>299</v>
      </c>
      <c r="C77" s="185" t="s">
        <v>300</v>
      </c>
      <c r="D77" s="191">
        <f>D78</f>
        <v>2000000</v>
      </c>
      <c r="E77" s="191">
        <f t="shared" ref="E77:G77" si="31">E78</f>
        <v>50000</v>
      </c>
      <c r="F77" s="191">
        <f t="shared" si="31"/>
        <v>0</v>
      </c>
      <c r="G77" s="191">
        <f t="shared" si="31"/>
        <v>50000</v>
      </c>
      <c r="H77" s="236">
        <f t="shared" si="22"/>
        <v>2.5000000000000001E-2</v>
      </c>
      <c r="I77" s="263"/>
      <c r="J77" s="186"/>
    </row>
    <row r="78" spans="1:10" s="176" customFormat="1" x14ac:dyDescent="0.25">
      <c r="A78" s="188"/>
      <c r="B78" s="178" t="s">
        <v>507</v>
      </c>
      <c r="C78" s="183" t="s">
        <v>300</v>
      </c>
      <c r="D78" s="192">
        <v>2000000</v>
      </c>
      <c r="E78" s="192">
        <f>'Realisasi Okt'!G78</f>
        <v>50000</v>
      </c>
      <c r="F78" s="192">
        <f>[4]NOV!$U$54</f>
        <v>0</v>
      </c>
      <c r="G78" s="192">
        <f>E78+F78</f>
        <v>50000</v>
      </c>
      <c r="H78" s="24">
        <f t="shared" si="22"/>
        <v>2.5000000000000001E-2</v>
      </c>
      <c r="I78" s="219"/>
      <c r="J78" s="175"/>
    </row>
    <row r="79" spans="1:10" s="176" customFormat="1" x14ac:dyDescent="0.25">
      <c r="A79" s="188"/>
      <c r="B79" s="178"/>
      <c r="C79" s="183"/>
      <c r="D79" s="192"/>
      <c r="E79" s="192"/>
      <c r="F79" s="192"/>
      <c r="G79" s="191"/>
      <c r="H79" s="236"/>
      <c r="I79" s="220"/>
      <c r="J79" s="175"/>
    </row>
    <row r="80" spans="1:10" s="176" customFormat="1" x14ac:dyDescent="0.25">
      <c r="A80" s="168" t="s">
        <v>62</v>
      </c>
      <c r="B80" s="22" t="s">
        <v>301</v>
      </c>
      <c r="C80" s="185" t="s">
        <v>63</v>
      </c>
      <c r="D80" s="191">
        <f t="shared" ref="D80:G82" si="32">D81</f>
        <v>25000000</v>
      </c>
      <c r="E80" s="191">
        <f t="shared" si="32"/>
        <v>21829600</v>
      </c>
      <c r="F80" s="191">
        <f t="shared" si="32"/>
        <v>2000000</v>
      </c>
      <c r="G80" s="191">
        <f t="shared" si="32"/>
        <v>23829600</v>
      </c>
      <c r="H80" s="236">
        <f>G80/D80</f>
        <v>0.95318400000000003</v>
      </c>
      <c r="I80" s="209"/>
      <c r="J80" s="175"/>
    </row>
    <row r="81" spans="1:10" s="187" customFormat="1" x14ac:dyDescent="0.25">
      <c r="A81" s="169"/>
      <c r="B81" s="170" t="s">
        <v>285</v>
      </c>
      <c r="C81" s="185" t="s">
        <v>444</v>
      </c>
      <c r="D81" s="191">
        <f t="shared" si="32"/>
        <v>25000000</v>
      </c>
      <c r="E81" s="191">
        <f t="shared" si="32"/>
        <v>21829600</v>
      </c>
      <c r="F81" s="191">
        <f t="shared" si="32"/>
        <v>2000000</v>
      </c>
      <c r="G81" s="191">
        <f t="shared" si="32"/>
        <v>23829600</v>
      </c>
      <c r="H81" s="236">
        <f>G81/D81</f>
        <v>0.95318400000000003</v>
      </c>
      <c r="I81" s="216"/>
      <c r="J81" s="186"/>
    </row>
    <row r="82" spans="1:10" s="187" customFormat="1" x14ac:dyDescent="0.25">
      <c r="A82" s="169"/>
      <c r="B82" s="170" t="s">
        <v>302</v>
      </c>
      <c r="C82" s="185" t="s">
        <v>64</v>
      </c>
      <c r="D82" s="191">
        <f>D83</f>
        <v>25000000</v>
      </c>
      <c r="E82" s="191">
        <f t="shared" si="32"/>
        <v>21829600</v>
      </c>
      <c r="F82" s="191">
        <f t="shared" si="32"/>
        <v>2000000</v>
      </c>
      <c r="G82" s="191">
        <f t="shared" si="32"/>
        <v>23829600</v>
      </c>
      <c r="H82" s="236">
        <f>G82/D82</f>
        <v>0.95318400000000003</v>
      </c>
      <c r="I82" s="216"/>
      <c r="J82" s="186"/>
    </row>
    <row r="83" spans="1:10" s="176" customFormat="1" x14ac:dyDescent="0.25">
      <c r="A83" s="27"/>
      <c r="B83" s="178" t="s">
        <v>508</v>
      </c>
      <c r="C83" s="28" t="s">
        <v>509</v>
      </c>
      <c r="D83" s="192">
        <v>25000000</v>
      </c>
      <c r="E83" s="192">
        <f>'Realisasi Okt'!G83</f>
        <v>21829600</v>
      </c>
      <c r="F83" s="192">
        <v>2000000</v>
      </c>
      <c r="G83" s="192">
        <f>E83+F83</f>
        <v>23829600</v>
      </c>
      <c r="H83" s="24">
        <f>G83/D83</f>
        <v>0.95318400000000003</v>
      </c>
      <c r="I83" s="207" t="s">
        <v>65</v>
      </c>
      <c r="J83" s="175"/>
    </row>
    <row r="84" spans="1:10" s="176" customFormat="1" x14ac:dyDescent="0.25">
      <c r="A84" s="27"/>
      <c r="B84" s="178"/>
      <c r="C84" s="171"/>
      <c r="D84" s="192"/>
      <c r="E84" s="192"/>
      <c r="F84" s="192"/>
      <c r="G84" s="191"/>
      <c r="H84" s="236"/>
      <c r="I84" s="207"/>
      <c r="J84" s="175"/>
    </row>
    <row r="85" spans="1:10" s="176" customFormat="1" hidden="1" x14ac:dyDescent="0.25">
      <c r="A85" s="168" t="s">
        <v>66</v>
      </c>
      <c r="B85" s="22" t="s">
        <v>303</v>
      </c>
      <c r="C85" s="185" t="s">
        <v>67</v>
      </c>
      <c r="D85" s="196">
        <f>SUM(D86)</f>
        <v>0</v>
      </c>
      <c r="E85" s="196"/>
      <c r="F85" s="196">
        <f t="shared" ref="F85:G85" si="33">SUM(F86)</f>
        <v>0</v>
      </c>
      <c r="G85" s="196">
        <f t="shared" si="33"/>
        <v>0</v>
      </c>
      <c r="H85" s="236" t="e">
        <f t="shared" ref="H85:H90" si="34">G85/D85</f>
        <v>#DIV/0!</v>
      </c>
      <c r="I85" s="209"/>
      <c r="J85" s="175"/>
    </row>
    <row r="86" spans="1:10" s="176" customFormat="1" hidden="1" x14ac:dyDescent="0.25">
      <c r="A86" s="27"/>
      <c r="B86" s="170" t="s">
        <v>298</v>
      </c>
      <c r="C86" s="185" t="s">
        <v>60</v>
      </c>
      <c r="D86" s="191">
        <f>D87+D89</f>
        <v>0</v>
      </c>
      <c r="E86" s="191"/>
      <c r="F86" s="191">
        <f t="shared" ref="F86:G86" si="35">F87+F89</f>
        <v>0</v>
      </c>
      <c r="G86" s="191">
        <f t="shared" si="35"/>
        <v>0</v>
      </c>
      <c r="H86" s="236" t="e">
        <f t="shared" si="34"/>
        <v>#DIV/0!</v>
      </c>
      <c r="I86" s="207"/>
      <c r="J86" s="175"/>
    </row>
    <row r="87" spans="1:10" s="187" customFormat="1" hidden="1" x14ac:dyDescent="0.25">
      <c r="A87" s="264"/>
      <c r="B87" s="170" t="s">
        <v>304</v>
      </c>
      <c r="C87" s="185" t="s">
        <v>68</v>
      </c>
      <c r="D87" s="191">
        <f>D88</f>
        <v>0</v>
      </c>
      <c r="E87" s="191"/>
      <c r="F87" s="191">
        <f t="shared" ref="F87:G87" si="36">F88</f>
        <v>0</v>
      </c>
      <c r="G87" s="191">
        <f t="shared" si="36"/>
        <v>0</v>
      </c>
      <c r="H87" s="236" t="e">
        <f t="shared" si="34"/>
        <v>#DIV/0!</v>
      </c>
      <c r="I87" s="216" t="s">
        <v>69</v>
      </c>
      <c r="J87" s="186"/>
    </row>
    <row r="88" spans="1:10" s="176" customFormat="1" hidden="1" x14ac:dyDescent="0.25">
      <c r="A88" s="27"/>
      <c r="B88" s="178" t="s">
        <v>510</v>
      </c>
      <c r="C88" s="183" t="s">
        <v>68</v>
      </c>
      <c r="D88" s="192">
        <v>0</v>
      </c>
      <c r="E88" s="192">
        <f>'Realisasi Agustus'!H87</f>
        <v>0</v>
      </c>
      <c r="F88" s="192"/>
      <c r="G88" s="192">
        <f>E88+F88</f>
        <v>0</v>
      </c>
      <c r="H88" s="24" t="e">
        <f t="shared" si="34"/>
        <v>#DIV/0!</v>
      </c>
      <c r="I88" s="207" t="s">
        <v>69</v>
      </c>
      <c r="J88" s="175"/>
    </row>
    <row r="89" spans="1:10" s="187" customFormat="1" hidden="1" x14ac:dyDescent="0.25">
      <c r="A89" s="264"/>
      <c r="B89" s="170" t="s">
        <v>305</v>
      </c>
      <c r="C89" s="185" t="s">
        <v>70</v>
      </c>
      <c r="D89" s="191">
        <f>D90</f>
        <v>0</v>
      </c>
      <c r="E89" s="191"/>
      <c r="F89" s="191">
        <f t="shared" ref="F89:G89" si="37">F90</f>
        <v>0</v>
      </c>
      <c r="G89" s="191">
        <f t="shared" si="37"/>
        <v>0</v>
      </c>
      <c r="H89" s="236" t="e">
        <f t="shared" si="34"/>
        <v>#DIV/0!</v>
      </c>
      <c r="I89" s="216" t="s">
        <v>71</v>
      </c>
      <c r="J89" s="186"/>
    </row>
    <row r="90" spans="1:10" s="176" customFormat="1" hidden="1" x14ac:dyDescent="0.25">
      <c r="A90" s="27"/>
      <c r="B90" s="178" t="s">
        <v>511</v>
      </c>
      <c r="C90" s="183" t="s">
        <v>70</v>
      </c>
      <c r="D90" s="192">
        <v>0</v>
      </c>
      <c r="E90" s="192">
        <f>'Realisasi Agustus'!H89</f>
        <v>0</v>
      </c>
      <c r="F90" s="192"/>
      <c r="G90" s="192">
        <f>E90+F90</f>
        <v>0</v>
      </c>
      <c r="H90" s="24" t="e">
        <f t="shared" si="34"/>
        <v>#DIV/0!</v>
      </c>
      <c r="I90" s="207" t="s">
        <v>71</v>
      </c>
      <c r="J90" s="175"/>
    </row>
    <row r="91" spans="1:10" s="176" customFormat="1" hidden="1" x14ac:dyDescent="0.25">
      <c r="A91" s="27"/>
      <c r="B91" s="178"/>
      <c r="C91" s="183"/>
      <c r="D91" s="192"/>
      <c r="E91" s="192"/>
      <c r="F91" s="192"/>
      <c r="G91" s="191"/>
      <c r="H91" s="236"/>
      <c r="I91" s="207"/>
      <c r="J91" s="175"/>
    </row>
    <row r="92" spans="1:10" s="176" customFormat="1" ht="24" customHeight="1" x14ac:dyDescent="0.25">
      <c r="A92" s="29" t="s">
        <v>73</v>
      </c>
      <c r="B92" s="22" t="s">
        <v>307</v>
      </c>
      <c r="C92" s="185" t="s">
        <v>82</v>
      </c>
      <c r="D92" s="196">
        <f>D93</f>
        <v>25440000</v>
      </c>
      <c r="E92" s="196">
        <f t="shared" ref="E92:G92" si="38">E93</f>
        <v>15700000</v>
      </c>
      <c r="F92" s="196">
        <f t="shared" si="38"/>
        <v>1200000</v>
      </c>
      <c r="G92" s="196">
        <f t="shared" si="38"/>
        <v>16900000</v>
      </c>
      <c r="H92" s="236">
        <f>G92/D92</f>
        <v>0.66430817610062898</v>
      </c>
      <c r="I92" s="209"/>
      <c r="J92" s="175"/>
    </row>
    <row r="93" spans="1:10" s="187" customFormat="1" x14ac:dyDescent="0.25">
      <c r="A93" s="169"/>
      <c r="B93" s="170" t="s">
        <v>285</v>
      </c>
      <c r="C93" s="185" t="s">
        <v>444</v>
      </c>
      <c r="D93" s="191">
        <f>D95</f>
        <v>25440000</v>
      </c>
      <c r="E93" s="191">
        <f t="shared" ref="E93:F93" si="39">E95</f>
        <v>15700000</v>
      </c>
      <c r="F93" s="191">
        <f t="shared" si="39"/>
        <v>1200000</v>
      </c>
      <c r="G93" s="191">
        <f>G95</f>
        <v>16900000</v>
      </c>
      <c r="H93" s="236">
        <f>G93/D93</f>
        <v>0.66430817610062898</v>
      </c>
      <c r="I93" s="207" t="s">
        <v>83</v>
      </c>
      <c r="J93" s="186"/>
    </row>
    <row r="94" spans="1:10" s="187" customFormat="1" x14ac:dyDescent="0.25">
      <c r="A94" s="169"/>
      <c r="B94" s="170" t="s">
        <v>308</v>
      </c>
      <c r="C94" s="172" t="s">
        <v>309</v>
      </c>
      <c r="D94" s="191">
        <f>D95</f>
        <v>25440000</v>
      </c>
      <c r="E94" s="191">
        <f t="shared" ref="E94:G94" si="40">E95</f>
        <v>15700000</v>
      </c>
      <c r="F94" s="191">
        <f t="shared" si="40"/>
        <v>1200000</v>
      </c>
      <c r="G94" s="191">
        <f t="shared" si="40"/>
        <v>16900000</v>
      </c>
      <c r="H94" s="236">
        <f>G94/D94</f>
        <v>0.66430817610062898</v>
      </c>
      <c r="I94" s="216"/>
      <c r="J94" s="186"/>
    </row>
    <row r="95" spans="1:10" s="176" customFormat="1" x14ac:dyDescent="0.25">
      <c r="A95" s="188"/>
      <c r="B95" s="178" t="s">
        <v>512</v>
      </c>
      <c r="C95" s="171" t="s">
        <v>309</v>
      </c>
      <c r="D95" s="192">
        <v>25440000</v>
      </c>
      <c r="E95" s="192">
        <f>'Realisasi Okt'!G95</f>
        <v>15700000</v>
      </c>
      <c r="F95" s="192">
        <v>1200000</v>
      </c>
      <c r="G95" s="192">
        <f>E95+F95</f>
        <v>16900000</v>
      </c>
      <c r="H95" s="24">
        <f>G95/D95</f>
        <v>0.66430817610062898</v>
      </c>
      <c r="I95" s="207"/>
      <c r="J95" s="175"/>
    </row>
    <row r="96" spans="1:10" s="176" customFormat="1" x14ac:dyDescent="0.25">
      <c r="A96" s="169"/>
      <c r="B96" s="22"/>
      <c r="C96" s="25"/>
      <c r="D96" s="192"/>
      <c r="E96" s="192"/>
      <c r="F96" s="192"/>
      <c r="G96" s="191"/>
      <c r="H96" s="236"/>
      <c r="I96" s="221"/>
      <c r="J96" s="175"/>
    </row>
    <row r="97" spans="1:13" s="176" customFormat="1" ht="24.75" customHeight="1" x14ac:dyDescent="0.25">
      <c r="A97" s="29" t="s">
        <v>74</v>
      </c>
      <c r="B97" s="22" t="s">
        <v>310</v>
      </c>
      <c r="C97" s="185" t="s">
        <v>682</v>
      </c>
      <c r="D97" s="196">
        <f>D98</f>
        <v>1000000000</v>
      </c>
      <c r="E97" s="196">
        <f t="shared" ref="E97:G99" si="41">E98</f>
        <v>272997100</v>
      </c>
      <c r="F97" s="196">
        <f t="shared" si="41"/>
        <v>39000000</v>
      </c>
      <c r="G97" s="196">
        <f t="shared" si="41"/>
        <v>311997100</v>
      </c>
      <c r="H97" s="236">
        <f>G97/D97</f>
        <v>0.31199710000000003</v>
      </c>
      <c r="I97" s="207"/>
      <c r="J97" s="175"/>
    </row>
    <row r="98" spans="1:13" s="187" customFormat="1" x14ac:dyDescent="0.25">
      <c r="A98" s="169"/>
      <c r="B98" s="170" t="s">
        <v>288</v>
      </c>
      <c r="C98" s="185" t="s">
        <v>55</v>
      </c>
      <c r="D98" s="191">
        <f>D99</f>
        <v>1000000000</v>
      </c>
      <c r="E98" s="191">
        <f t="shared" si="41"/>
        <v>272997100</v>
      </c>
      <c r="F98" s="191">
        <f t="shared" si="41"/>
        <v>39000000</v>
      </c>
      <c r="G98" s="191">
        <f t="shared" si="41"/>
        <v>311997100</v>
      </c>
      <c r="H98" s="236">
        <f>G98/D98</f>
        <v>0.31199710000000003</v>
      </c>
      <c r="I98" s="216" t="s">
        <v>85</v>
      </c>
      <c r="J98" s="186"/>
    </row>
    <row r="99" spans="1:13" s="187" customFormat="1" x14ac:dyDescent="0.25">
      <c r="A99" s="169"/>
      <c r="B99" s="170" t="s">
        <v>311</v>
      </c>
      <c r="C99" s="185" t="s">
        <v>312</v>
      </c>
      <c r="D99" s="191">
        <f>D100</f>
        <v>1000000000</v>
      </c>
      <c r="E99" s="191">
        <f t="shared" si="41"/>
        <v>272997100</v>
      </c>
      <c r="F99" s="191">
        <f t="shared" si="41"/>
        <v>39000000</v>
      </c>
      <c r="G99" s="191">
        <f t="shared" si="41"/>
        <v>311997100</v>
      </c>
      <c r="H99" s="236">
        <f>G99/D99</f>
        <v>0.31199710000000003</v>
      </c>
      <c r="I99" s="216"/>
      <c r="J99" s="186"/>
    </row>
    <row r="100" spans="1:13" s="176" customFormat="1" x14ac:dyDescent="0.25">
      <c r="A100" s="188"/>
      <c r="B100" s="178" t="s">
        <v>513</v>
      </c>
      <c r="C100" s="183" t="s">
        <v>312</v>
      </c>
      <c r="D100" s="192">
        <v>1000000000</v>
      </c>
      <c r="E100" s="192">
        <f>'Realisasi Okt'!G100</f>
        <v>272997100</v>
      </c>
      <c r="F100" s="192">
        <v>39000000</v>
      </c>
      <c r="G100" s="181">
        <f>E100+F100</f>
        <v>311997100</v>
      </c>
      <c r="H100" s="24">
        <f>G100/D100</f>
        <v>0.31199710000000003</v>
      </c>
      <c r="I100" s="207"/>
      <c r="J100" s="175"/>
    </row>
    <row r="101" spans="1:13" s="176" customFormat="1" x14ac:dyDescent="0.25">
      <c r="A101" s="188"/>
      <c r="B101" s="178"/>
      <c r="C101" s="183"/>
      <c r="D101" s="192"/>
      <c r="E101" s="192"/>
      <c r="F101" s="192"/>
      <c r="G101" s="191"/>
      <c r="H101" s="236"/>
      <c r="I101" s="207"/>
      <c r="J101" s="175"/>
    </row>
    <row r="102" spans="1:13" s="176" customFormat="1" ht="41.25" customHeight="1" x14ac:dyDescent="0.25">
      <c r="A102" s="168" t="s">
        <v>86</v>
      </c>
      <c r="B102" s="189" t="s">
        <v>313</v>
      </c>
      <c r="C102" s="30" t="s">
        <v>87</v>
      </c>
      <c r="D102" s="196">
        <f>SUM(D103)</f>
        <v>1663748324</v>
      </c>
      <c r="E102" s="196">
        <f t="shared" ref="E102:G102" si="42">SUM(E103)</f>
        <v>1079761191</v>
      </c>
      <c r="F102" s="196">
        <f t="shared" si="42"/>
        <v>0</v>
      </c>
      <c r="G102" s="196">
        <f t="shared" si="42"/>
        <v>1079761191</v>
      </c>
      <c r="H102" s="236">
        <f>G102/D102</f>
        <v>0.64899310516149922</v>
      </c>
      <c r="I102" s="209"/>
      <c r="J102" s="175"/>
    </row>
    <row r="103" spans="1:13" s="176" customFormat="1" ht="32.25" customHeight="1" x14ac:dyDescent="0.25">
      <c r="A103" s="188"/>
      <c r="B103" s="189" t="s">
        <v>314</v>
      </c>
      <c r="C103" s="30" t="s">
        <v>88</v>
      </c>
      <c r="D103" s="191">
        <f>SUM(D104:D106)</f>
        <v>1663748324</v>
      </c>
      <c r="E103" s="191">
        <f t="shared" ref="E103:G103" si="43">SUM(E104:E106)</f>
        <v>1079761191</v>
      </c>
      <c r="F103" s="191">
        <f t="shared" si="43"/>
        <v>0</v>
      </c>
      <c r="G103" s="191">
        <f t="shared" si="43"/>
        <v>1079761191</v>
      </c>
      <c r="H103" s="236">
        <f>G103/D103</f>
        <v>0.64899310516149922</v>
      </c>
      <c r="I103" s="209"/>
      <c r="J103" s="175"/>
    </row>
    <row r="104" spans="1:13" s="176" customFormat="1" x14ac:dyDescent="0.25">
      <c r="A104" s="184" t="s">
        <v>89</v>
      </c>
      <c r="B104" s="190" t="s">
        <v>314</v>
      </c>
      <c r="C104" s="183" t="s">
        <v>90</v>
      </c>
      <c r="D104" s="192">
        <v>895097348</v>
      </c>
      <c r="E104" s="192">
        <f>'Realisasi Okt'!G104</f>
        <v>1079761191</v>
      </c>
      <c r="F104" s="192"/>
      <c r="G104" s="192">
        <f>E104+F104</f>
        <v>1079761191</v>
      </c>
      <c r="H104" s="24">
        <f>G104/D104</f>
        <v>1.206305876576008</v>
      </c>
      <c r="I104" s="207"/>
      <c r="J104" s="175"/>
    </row>
    <row r="105" spans="1:13" s="176" customFormat="1" x14ac:dyDescent="0.25">
      <c r="A105" s="184" t="s">
        <v>91</v>
      </c>
      <c r="B105" s="190" t="s">
        <v>314</v>
      </c>
      <c r="C105" s="183" t="s">
        <v>92</v>
      </c>
      <c r="D105" s="192">
        <v>455948308</v>
      </c>
      <c r="E105" s="192">
        <f>'Realisasi Okt'!G105</f>
        <v>0</v>
      </c>
      <c r="F105" s="192"/>
      <c r="G105" s="192">
        <f t="shared" ref="G105:G106" si="44">E105+F105</f>
        <v>0</v>
      </c>
      <c r="H105" s="24">
        <f>G105/D105</f>
        <v>0</v>
      </c>
      <c r="I105" s="207" t="s">
        <v>93</v>
      </c>
      <c r="J105" s="175"/>
    </row>
    <row r="106" spans="1:13" s="176" customFormat="1" x14ac:dyDescent="0.25">
      <c r="A106" s="184" t="s">
        <v>72</v>
      </c>
      <c r="B106" s="190" t="s">
        <v>314</v>
      </c>
      <c r="C106" s="183" t="s">
        <v>94</v>
      </c>
      <c r="D106" s="192">
        <v>312702668</v>
      </c>
      <c r="E106" s="192">
        <f>'Realisasi Okt'!G106</f>
        <v>0</v>
      </c>
      <c r="F106" s="192"/>
      <c r="G106" s="192">
        <f t="shared" si="44"/>
        <v>0</v>
      </c>
      <c r="H106" s="24">
        <f>G106/D106</f>
        <v>0</v>
      </c>
      <c r="I106" s="207"/>
      <c r="J106" s="175"/>
    </row>
    <row r="107" spans="1:13" s="176" customFormat="1" x14ac:dyDescent="0.25">
      <c r="A107" s="188"/>
      <c r="B107" s="178"/>
      <c r="C107" s="183"/>
      <c r="D107" s="192"/>
      <c r="E107" s="192"/>
      <c r="F107" s="192"/>
      <c r="G107" s="191"/>
      <c r="H107" s="236"/>
      <c r="I107" s="207"/>
      <c r="J107" s="175"/>
    </row>
    <row r="108" spans="1:13" s="176" customFormat="1" ht="21" customHeight="1" x14ac:dyDescent="0.25">
      <c r="A108" s="169" t="s">
        <v>95</v>
      </c>
      <c r="B108" s="189" t="s">
        <v>315</v>
      </c>
      <c r="C108" s="185" t="s">
        <v>96</v>
      </c>
      <c r="D108" s="191">
        <f>SUM(D110+D121+D125+D129+D142+D144+D157+D159+D166+D206+D220+D226+D118+D138)</f>
        <v>171911765691</v>
      </c>
      <c r="E108" s="191">
        <f t="shared" ref="E108:G108" si="45">SUM(E110+E121+E125+E129+E142+E144+E157+E159+E166+E206+E220+E226+E118+E138)</f>
        <v>161629312084.18997</v>
      </c>
      <c r="F108" s="191">
        <f t="shared" si="45"/>
        <v>24873535958.059998</v>
      </c>
      <c r="G108" s="191">
        <f t="shared" si="45"/>
        <v>186502848042.25</v>
      </c>
      <c r="H108" s="236">
        <f>G108/D108</f>
        <v>1.0848754143883119</v>
      </c>
      <c r="I108" s="209"/>
      <c r="J108" s="328"/>
      <c r="K108" s="328"/>
      <c r="L108" s="328"/>
      <c r="M108" s="328"/>
    </row>
    <row r="109" spans="1:13" s="176" customFormat="1" x14ac:dyDescent="0.25">
      <c r="A109" s="169"/>
      <c r="B109" s="31"/>
      <c r="C109" s="32"/>
      <c r="D109" s="192"/>
      <c r="E109" s="192"/>
      <c r="F109" s="192"/>
      <c r="G109" s="191"/>
      <c r="H109" s="236"/>
      <c r="I109" s="209"/>
      <c r="J109" s="175"/>
    </row>
    <row r="110" spans="1:13" s="176" customFormat="1" x14ac:dyDescent="0.25">
      <c r="A110" s="168" t="s">
        <v>19</v>
      </c>
      <c r="B110" s="189" t="s">
        <v>587</v>
      </c>
      <c r="C110" s="180" t="s">
        <v>589</v>
      </c>
      <c r="D110" s="191">
        <f>D112+D115</f>
        <v>3049424600</v>
      </c>
      <c r="E110" s="191">
        <f t="shared" ref="E110:G110" si="46">E112+E115</f>
        <v>1099622000</v>
      </c>
      <c r="F110" s="191">
        <f t="shared" si="46"/>
        <v>625000</v>
      </c>
      <c r="G110" s="191">
        <f t="shared" si="46"/>
        <v>1100247000</v>
      </c>
      <c r="H110" s="236">
        <f>G110/D110</f>
        <v>0.36080478920515036</v>
      </c>
      <c r="I110" s="209"/>
      <c r="J110" s="175"/>
    </row>
    <row r="111" spans="1:13" s="176" customFormat="1" x14ac:dyDescent="0.25">
      <c r="A111" s="168"/>
      <c r="B111" s="189" t="s">
        <v>588</v>
      </c>
      <c r="C111" s="180" t="s">
        <v>589</v>
      </c>
      <c r="D111" s="191"/>
      <c r="E111" s="191"/>
      <c r="F111" s="192"/>
      <c r="G111" s="191"/>
      <c r="H111" s="236"/>
      <c r="I111" s="209"/>
      <c r="J111" s="175"/>
    </row>
    <row r="112" spans="1:13" s="176" customFormat="1" x14ac:dyDescent="0.25">
      <c r="A112" s="168"/>
      <c r="B112" s="189" t="s">
        <v>584</v>
      </c>
      <c r="C112" s="180" t="s">
        <v>585</v>
      </c>
      <c r="D112" s="191">
        <f>D113</f>
        <v>3049424600</v>
      </c>
      <c r="E112" s="191">
        <f t="shared" ref="E112:G112" si="47">E113</f>
        <v>880302000</v>
      </c>
      <c r="F112" s="191">
        <f t="shared" si="47"/>
        <v>0</v>
      </c>
      <c r="G112" s="191">
        <f t="shared" si="47"/>
        <v>880302000</v>
      </c>
      <c r="H112" s="236">
        <f>G112/D112</f>
        <v>0.28867806733112861</v>
      </c>
      <c r="I112" s="209"/>
      <c r="J112" s="175"/>
    </row>
    <row r="113" spans="1:10" s="176" customFormat="1" x14ac:dyDescent="0.25">
      <c r="A113" s="168"/>
      <c r="B113" s="190"/>
      <c r="C113" s="33" t="s">
        <v>586</v>
      </c>
      <c r="D113" s="192">
        <v>3049424600</v>
      </c>
      <c r="E113" s="192">
        <f>'Realisasi Okt'!G113</f>
        <v>880302000</v>
      </c>
      <c r="F113" s="192"/>
      <c r="G113" s="192">
        <f>E113+F113</f>
        <v>880302000</v>
      </c>
      <c r="H113" s="24">
        <f>G113/D113</f>
        <v>0.28867806733112861</v>
      </c>
      <c r="I113" s="209"/>
      <c r="J113" s="175"/>
    </row>
    <row r="114" spans="1:10" s="176" customFormat="1" x14ac:dyDescent="0.25">
      <c r="A114" s="169"/>
      <c r="B114" s="31"/>
      <c r="C114" s="32"/>
      <c r="D114" s="192"/>
      <c r="E114" s="192"/>
      <c r="F114" s="192"/>
      <c r="G114" s="191"/>
      <c r="H114" s="24"/>
      <c r="I114" s="209"/>
      <c r="J114" s="175"/>
    </row>
    <row r="115" spans="1:10" s="176" customFormat="1" x14ac:dyDescent="0.25">
      <c r="A115" s="168"/>
      <c r="B115" s="190" t="s">
        <v>590</v>
      </c>
      <c r="C115" s="172" t="s">
        <v>581</v>
      </c>
      <c r="D115" s="191">
        <f>SUM(D116)</f>
        <v>0</v>
      </c>
      <c r="E115" s="191">
        <f>E116</f>
        <v>219320000</v>
      </c>
      <c r="F115" s="191">
        <f t="shared" ref="F115:G115" si="48">SUM(F116)</f>
        <v>625000</v>
      </c>
      <c r="G115" s="191">
        <f t="shared" si="48"/>
        <v>219945000</v>
      </c>
      <c r="H115" s="236" t="e">
        <f t="shared" ref="H115:H116" si="49">G115/D115</f>
        <v>#DIV/0!</v>
      </c>
      <c r="I115" s="207"/>
      <c r="J115" s="175"/>
    </row>
    <row r="116" spans="1:10" s="176" customFormat="1" x14ac:dyDescent="0.25">
      <c r="A116" s="168"/>
      <c r="B116" s="189"/>
      <c r="C116" s="193" t="s">
        <v>622</v>
      </c>
      <c r="D116" s="192">
        <v>0</v>
      </c>
      <c r="E116" s="192">
        <f>'Realisasi Okt'!G116</f>
        <v>219320000</v>
      </c>
      <c r="F116" s="192">
        <v>625000</v>
      </c>
      <c r="G116" s="192">
        <f>E116+F116</f>
        <v>219945000</v>
      </c>
      <c r="H116" s="24" t="e">
        <f t="shared" si="49"/>
        <v>#DIV/0!</v>
      </c>
      <c r="I116" s="207"/>
      <c r="J116" s="175"/>
    </row>
    <row r="117" spans="1:10" s="176" customFormat="1" x14ac:dyDescent="0.25">
      <c r="A117" s="168"/>
      <c r="B117" s="189"/>
      <c r="C117" s="193"/>
      <c r="D117" s="192"/>
      <c r="E117" s="192"/>
      <c r="F117" s="192"/>
      <c r="G117" s="192"/>
      <c r="H117" s="236"/>
      <c r="I117" s="207"/>
      <c r="J117" s="175"/>
    </row>
    <row r="118" spans="1:10" s="176" customFormat="1" x14ac:dyDescent="0.25">
      <c r="A118" s="169"/>
      <c r="B118" s="190" t="s">
        <v>318</v>
      </c>
      <c r="C118" s="172" t="s">
        <v>319</v>
      </c>
      <c r="D118" s="191">
        <f>SUM(D119:D119)</f>
        <v>801206585</v>
      </c>
      <c r="E118" s="191">
        <f t="shared" ref="E118:G118" si="50">SUM(E119:E119)</f>
        <v>830953335</v>
      </c>
      <c r="F118" s="191">
        <f t="shared" si="50"/>
        <v>0</v>
      </c>
      <c r="G118" s="191">
        <f t="shared" si="50"/>
        <v>830953335</v>
      </c>
      <c r="H118" s="236">
        <f>G118/D118</f>
        <v>1.037127440733653</v>
      </c>
      <c r="I118" s="209"/>
      <c r="J118" s="175"/>
    </row>
    <row r="119" spans="1:10" s="176" customFormat="1" x14ac:dyDescent="0.25">
      <c r="A119" s="169"/>
      <c r="B119" s="190"/>
      <c r="C119" s="193" t="s">
        <v>670</v>
      </c>
      <c r="D119" s="192">
        <v>801206585</v>
      </c>
      <c r="E119" s="192">
        <f>'Realisasi Okt'!G119</f>
        <v>830953335</v>
      </c>
      <c r="F119" s="192"/>
      <c r="G119" s="192">
        <f t="shared" ref="G119" si="51">E119+F119</f>
        <v>830953335</v>
      </c>
      <c r="H119" s="24">
        <f t="shared" ref="H119" si="52">G119/D119</f>
        <v>1.037127440733653</v>
      </c>
      <c r="I119" s="209"/>
      <c r="J119" s="175"/>
    </row>
    <row r="120" spans="1:10" s="176" customFormat="1" x14ac:dyDescent="0.25">
      <c r="A120" s="169"/>
      <c r="B120" s="190"/>
      <c r="C120" s="193"/>
      <c r="D120" s="192"/>
      <c r="E120" s="191">
        <f>'Realisasi Sept'!G120</f>
        <v>0</v>
      </c>
      <c r="F120" s="192"/>
      <c r="G120" s="191"/>
      <c r="H120" s="236"/>
      <c r="I120" s="209"/>
      <c r="J120" s="175"/>
    </row>
    <row r="121" spans="1:10" s="176" customFormat="1" x14ac:dyDescent="0.25">
      <c r="A121" s="168" t="s">
        <v>46</v>
      </c>
      <c r="B121" s="189" t="s">
        <v>342</v>
      </c>
      <c r="C121" s="185" t="s">
        <v>343</v>
      </c>
      <c r="D121" s="191">
        <f>D122</f>
        <v>1000000000</v>
      </c>
      <c r="E121" s="191">
        <f>'Realisasi Sept'!G121</f>
        <v>0</v>
      </c>
      <c r="F121" s="191">
        <f t="shared" ref="F121:G122" si="53">F122</f>
        <v>1000555554</v>
      </c>
      <c r="G121" s="191">
        <f t="shared" si="53"/>
        <v>1000555554</v>
      </c>
      <c r="H121" s="236">
        <f>G121/D121</f>
        <v>1.000555554</v>
      </c>
      <c r="I121" s="209"/>
      <c r="J121" s="175"/>
    </row>
    <row r="122" spans="1:10" s="187" customFormat="1" x14ac:dyDescent="0.25">
      <c r="A122" s="169"/>
      <c r="B122" s="189" t="s">
        <v>344</v>
      </c>
      <c r="C122" s="185" t="s">
        <v>349</v>
      </c>
      <c r="D122" s="191">
        <f>D123</f>
        <v>1000000000</v>
      </c>
      <c r="E122" s="191">
        <f>'Realisasi Sept'!G122</f>
        <v>0</v>
      </c>
      <c r="F122" s="191">
        <f t="shared" si="53"/>
        <v>1000555554</v>
      </c>
      <c r="G122" s="191">
        <f t="shared" si="53"/>
        <v>1000555554</v>
      </c>
      <c r="H122" s="236">
        <f>G122/D122</f>
        <v>1.000555554</v>
      </c>
      <c r="I122" s="210"/>
      <c r="J122" s="186"/>
    </row>
    <row r="123" spans="1:10" s="176" customFormat="1" x14ac:dyDescent="0.25">
      <c r="A123" s="169"/>
      <c r="B123" s="190" t="s">
        <v>730</v>
      </c>
      <c r="C123" s="171" t="s">
        <v>162</v>
      </c>
      <c r="D123" s="192">
        <v>1000000000</v>
      </c>
      <c r="E123" s="191">
        <f>'Realisasi Okt'!G123</f>
        <v>0</v>
      </c>
      <c r="F123" s="192">
        <v>1000555554</v>
      </c>
      <c r="G123" s="192">
        <f>E123+F123</f>
        <v>1000555554</v>
      </c>
      <c r="H123" s="24">
        <f>G123/D123</f>
        <v>1.000555554</v>
      </c>
      <c r="I123" s="209"/>
      <c r="J123" s="175"/>
    </row>
    <row r="124" spans="1:10" s="176" customFormat="1" x14ac:dyDescent="0.25">
      <c r="A124" s="169"/>
      <c r="B124" s="190"/>
      <c r="C124" s="193"/>
      <c r="D124" s="192"/>
      <c r="E124" s="191"/>
      <c r="F124" s="192"/>
      <c r="G124" s="191"/>
      <c r="H124" s="236"/>
      <c r="I124" s="209"/>
      <c r="J124" s="175"/>
    </row>
    <row r="125" spans="1:10" s="176" customFormat="1" x14ac:dyDescent="0.25">
      <c r="A125" s="168" t="s">
        <v>8</v>
      </c>
      <c r="B125" s="189" t="s">
        <v>320</v>
      </c>
      <c r="C125" s="185" t="s">
        <v>97</v>
      </c>
      <c r="D125" s="196">
        <f>SUM(D126:D127)</f>
        <v>2750000000</v>
      </c>
      <c r="E125" s="196">
        <f t="shared" ref="E125:G125" si="54">SUM(E126:E127)</f>
        <v>2853645849.4000001</v>
      </c>
      <c r="F125" s="196">
        <f t="shared" si="54"/>
        <v>374388483.93000001</v>
      </c>
      <c r="G125" s="196">
        <f t="shared" si="54"/>
        <v>3228034333.3299999</v>
      </c>
      <c r="H125" s="236">
        <f>G125/D125</f>
        <v>1.1738306666654545</v>
      </c>
      <c r="I125" s="207"/>
      <c r="J125" s="175"/>
    </row>
    <row r="126" spans="1:10" s="176" customFormat="1" x14ac:dyDescent="0.25">
      <c r="A126" s="188"/>
      <c r="B126" s="190" t="s">
        <v>514</v>
      </c>
      <c r="C126" s="183" t="s">
        <v>515</v>
      </c>
      <c r="D126" s="192">
        <v>2500000000</v>
      </c>
      <c r="E126" s="192">
        <f>'Realisasi Okt'!G126</f>
        <v>2782113141.4000001</v>
      </c>
      <c r="F126" s="192">
        <v>364576748.93000001</v>
      </c>
      <c r="G126" s="192">
        <f>E126+F126</f>
        <v>3146689890.3299999</v>
      </c>
      <c r="H126" s="24">
        <f>G126/D126</f>
        <v>1.258675956132</v>
      </c>
      <c r="I126" s="207"/>
      <c r="J126" s="175"/>
    </row>
    <row r="127" spans="1:10" s="176" customFormat="1" x14ac:dyDescent="0.25">
      <c r="A127" s="188"/>
      <c r="B127" s="190" t="s">
        <v>517</v>
      </c>
      <c r="C127" s="183" t="s">
        <v>516</v>
      </c>
      <c r="D127" s="192">
        <v>250000000</v>
      </c>
      <c r="E127" s="192">
        <f>'Realisasi Okt'!G127</f>
        <v>71532708</v>
      </c>
      <c r="F127" s="192">
        <v>9811735</v>
      </c>
      <c r="G127" s="192">
        <f>E127+F127</f>
        <v>81344443</v>
      </c>
      <c r="H127" s="24">
        <f>G127/D127</f>
        <v>0.32537777200000001</v>
      </c>
      <c r="I127" s="207"/>
      <c r="J127" s="175"/>
    </row>
    <row r="128" spans="1:10" s="176" customFormat="1" x14ac:dyDescent="0.25">
      <c r="A128" s="188"/>
      <c r="B128" s="178"/>
      <c r="C128" s="183"/>
      <c r="D128" s="192"/>
      <c r="E128" s="191"/>
      <c r="F128" s="192"/>
      <c r="G128" s="191"/>
      <c r="H128" s="236"/>
      <c r="I128" s="207"/>
      <c r="J128" s="175"/>
    </row>
    <row r="129" spans="1:10" s="176" customFormat="1" x14ac:dyDescent="0.25">
      <c r="A129" s="168" t="s">
        <v>49</v>
      </c>
      <c r="B129" s="189" t="s">
        <v>321</v>
      </c>
      <c r="C129" s="180" t="s">
        <v>98</v>
      </c>
      <c r="D129" s="196">
        <f>D130</f>
        <v>3100000000</v>
      </c>
      <c r="E129" s="196">
        <f>'Realisasi Okt'!G129</f>
        <v>626703036.43999994</v>
      </c>
      <c r="F129" s="196">
        <v>84524351.870000005</v>
      </c>
      <c r="G129" s="196">
        <f>E129+F129</f>
        <v>711227388.30999994</v>
      </c>
      <c r="H129" s="236">
        <f t="shared" ref="H129:H135" si="55">G129/D129</f>
        <v>0.22942818977741933</v>
      </c>
      <c r="I129" s="207"/>
      <c r="J129" s="175"/>
    </row>
    <row r="130" spans="1:10" s="176" customFormat="1" x14ac:dyDescent="0.25">
      <c r="A130" s="168"/>
      <c r="B130" s="189" t="s">
        <v>322</v>
      </c>
      <c r="C130" s="180" t="s">
        <v>323</v>
      </c>
      <c r="D130" s="196">
        <f>D131</f>
        <v>3100000000</v>
      </c>
      <c r="E130" s="196">
        <f t="shared" ref="E130" si="56">E131</f>
        <v>626703036.43999994</v>
      </c>
      <c r="F130" s="196">
        <f t="shared" ref="F130:G130" si="57">F131</f>
        <v>84524351.870000005</v>
      </c>
      <c r="G130" s="196">
        <f t="shared" si="57"/>
        <v>711227388.30999994</v>
      </c>
      <c r="H130" s="236">
        <f t="shared" si="55"/>
        <v>0.22942818977741933</v>
      </c>
      <c r="I130" s="207"/>
      <c r="J130" s="175"/>
    </row>
    <row r="131" spans="1:10" s="176" customFormat="1" x14ac:dyDescent="0.25">
      <c r="A131" s="168"/>
      <c r="B131" s="189" t="s">
        <v>518</v>
      </c>
      <c r="C131" s="180" t="s">
        <v>323</v>
      </c>
      <c r="D131" s="196">
        <f>SUM(D132:D136)</f>
        <v>3100000000</v>
      </c>
      <c r="E131" s="196">
        <f>'Realisasi Okt'!G131</f>
        <v>626703036.43999994</v>
      </c>
      <c r="F131" s="196">
        <v>84524351.870000005</v>
      </c>
      <c r="G131" s="196">
        <f>E131+F131</f>
        <v>711227388.30999994</v>
      </c>
      <c r="H131" s="236">
        <f t="shared" si="55"/>
        <v>0.22942818977741933</v>
      </c>
      <c r="I131" s="207"/>
      <c r="J131" s="175"/>
    </row>
    <row r="132" spans="1:10" s="176" customFormat="1" x14ac:dyDescent="0.25">
      <c r="A132" s="169"/>
      <c r="B132" s="177"/>
      <c r="C132" s="193" t="s">
        <v>324</v>
      </c>
      <c r="D132" s="181">
        <v>1200000000</v>
      </c>
      <c r="E132" s="192">
        <f>'Realisasi Okt'!G132</f>
        <v>161164210</v>
      </c>
      <c r="F132" s="181"/>
      <c r="G132" s="192">
        <f>E132+F132</f>
        <v>161164210</v>
      </c>
      <c r="H132" s="24">
        <f t="shared" si="55"/>
        <v>0.13430350833333332</v>
      </c>
      <c r="I132" s="207"/>
      <c r="J132" s="175"/>
    </row>
    <row r="133" spans="1:10" s="176" customFormat="1" x14ac:dyDescent="0.25">
      <c r="A133" s="169"/>
      <c r="B133" s="177"/>
      <c r="C133" s="193" t="s">
        <v>325</v>
      </c>
      <c r="D133" s="181">
        <v>600000000</v>
      </c>
      <c r="E133" s="192">
        <f>'Realisasi Okt'!G133</f>
        <v>77935849.229999989</v>
      </c>
      <c r="F133" s="181"/>
      <c r="G133" s="192">
        <f t="shared" ref="G133:G136" si="58">E133+F133</f>
        <v>77935849.229999989</v>
      </c>
      <c r="H133" s="24">
        <f t="shared" si="55"/>
        <v>0.12989308204999997</v>
      </c>
      <c r="I133" s="207"/>
      <c r="J133" s="175"/>
    </row>
    <row r="134" spans="1:10" s="176" customFormat="1" x14ac:dyDescent="0.25">
      <c r="A134" s="169"/>
      <c r="B134" s="178"/>
      <c r="C134" s="193" t="s">
        <v>578</v>
      </c>
      <c r="D134" s="181">
        <v>0</v>
      </c>
      <c r="E134" s="192">
        <f>'Realisasi Okt'!G134</f>
        <v>37602740</v>
      </c>
      <c r="F134" s="181"/>
      <c r="G134" s="192">
        <f t="shared" si="58"/>
        <v>37602740</v>
      </c>
      <c r="H134" s="252" t="e">
        <f t="shared" si="55"/>
        <v>#DIV/0!</v>
      </c>
      <c r="I134" s="207"/>
      <c r="J134" s="175"/>
    </row>
    <row r="135" spans="1:10" s="176" customFormat="1" x14ac:dyDescent="0.25">
      <c r="A135" s="169"/>
      <c r="B135" s="178"/>
      <c r="C135" s="193" t="s">
        <v>326</v>
      </c>
      <c r="D135" s="181">
        <v>800000000</v>
      </c>
      <c r="E135" s="192">
        <f>'Realisasi Okt'!G135</f>
        <v>173431522</v>
      </c>
      <c r="F135" s="181"/>
      <c r="G135" s="192">
        <f t="shared" si="58"/>
        <v>173431522</v>
      </c>
      <c r="H135" s="24">
        <f t="shared" si="55"/>
        <v>0.21678940250000001</v>
      </c>
      <c r="I135" s="207"/>
      <c r="J135" s="175"/>
    </row>
    <row r="136" spans="1:10" s="176" customFormat="1" x14ac:dyDescent="0.25">
      <c r="A136" s="169"/>
      <c r="B136" s="178"/>
      <c r="C136" s="193" t="s">
        <v>687</v>
      </c>
      <c r="D136" s="181">
        <v>500000000</v>
      </c>
      <c r="E136" s="192">
        <f>'Realisasi Okt'!G136</f>
        <v>57020547.939999998</v>
      </c>
      <c r="F136" s="181"/>
      <c r="G136" s="192">
        <f t="shared" si="58"/>
        <v>57020547.939999998</v>
      </c>
      <c r="H136" s="24"/>
      <c r="I136" s="207"/>
      <c r="J136" s="175"/>
    </row>
    <row r="137" spans="1:10" s="176" customFormat="1" x14ac:dyDescent="0.25">
      <c r="A137" s="169"/>
      <c r="B137" s="170"/>
      <c r="C137" s="185"/>
      <c r="D137" s="191"/>
      <c r="E137" s="191"/>
      <c r="F137" s="191"/>
      <c r="G137" s="192"/>
      <c r="H137" s="24"/>
      <c r="I137" s="207"/>
      <c r="J137" s="175"/>
    </row>
    <row r="138" spans="1:10" s="176" customFormat="1" x14ac:dyDescent="0.25">
      <c r="A138" s="168" t="s">
        <v>53</v>
      </c>
      <c r="B138" s="189" t="s">
        <v>623</v>
      </c>
      <c r="C138" s="180" t="s">
        <v>626</v>
      </c>
      <c r="D138" s="196">
        <f>D139</f>
        <v>0</v>
      </c>
      <c r="E138" s="196">
        <f t="shared" ref="E138:G139" si="59">E139</f>
        <v>1315242654.0799997</v>
      </c>
      <c r="F138" s="196">
        <f t="shared" si="59"/>
        <v>30310774</v>
      </c>
      <c r="G138" s="196">
        <f t="shared" si="59"/>
        <v>1345553428.0799997</v>
      </c>
      <c r="H138" s="253" t="e">
        <f>G138/D138</f>
        <v>#DIV/0!</v>
      </c>
      <c r="I138" s="207"/>
      <c r="J138" s="175"/>
    </row>
    <row r="139" spans="1:10" s="176" customFormat="1" x14ac:dyDescent="0.25">
      <c r="A139" s="169"/>
      <c r="B139" s="189" t="s">
        <v>624</v>
      </c>
      <c r="C139" s="180" t="s">
        <v>626</v>
      </c>
      <c r="D139" s="196">
        <f>D140</f>
        <v>0</v>
      </c>
      <c r="E139" s="196">
        <f t="shared" si="59"/>
        <v>1315242654.0799997</v>
      </c>
      <c r="F139" s="196">
        <f t="shared" si="59"/>
        <v>30310774</v>
      </c>
      <c r="G139" s="196">
        <f t="shared" si="59"/>
        <v>1345553428.0799997</v>
      </c>
      <c r="H139" s="253" t="e">
        <f>G139/D139</f>
        <v>#DIV/0!</v>
      </c>
      <c r="I139" s="207"/>
      <c r="J139" s="175"/>
    </row>
    <row r="140" spans="1:10" s="176" customFormat="1" x14ac:dyDescent="0.25">
      <c r="A140" s="188"/>
      <c r="B140" s="190" t="s">
        <v>625</v>
      </c>
      <c r="C140" s="33" t="s">
        <v>626</v>
      </c>
      <c r="D140" s="181">
        <v>0</v>
      </c>
      <c r="E140" s="181">
        <f>'Realisasi Okt'!G140</f>
        <v>1315242654.0799997</v>
      </c>
      <c r="F140" s="181">
        <v>30310774</v>
      </c>
      <c r="G140" s="181">
        <f>E140+F140</f>
        <v>1345553428.0799997</v>
      </c>
      <c r="H140" s="252" t="e">
        <f>G140/D140</f>
        <v>#DIV/0!</v>
      </c>
      <c r="I140" s="207"/>
      <c r="J140" s="175"/>
    </row>
    <row r="141" spans="1:10" s="176" customFormat="1" x14ac:dyDescent="0.25">
      <c r="A141" s="169"/>
      <c r="B141" s="177"/>
      <c r="C141" s="193"/>
      <c r="D141" s="181"/>
      <c r="E141" s="181"/>
      <c r="F141" s="181"/>
      <c r="G141" s="192"/>
      <c r="H141" s="24"/>
      <c r="I141" s="207"/>
      <c r="J141" s="175"/>
    </row>
    <row r="142" spans="1:10" s="176" customFormat="1" x14ac:dyDescent="0.25">
      <c r="A142" s="168" t="s">
        <v>62</v>
      </c>
      <c r="B142" s="179" t="s">
        <v>99</v>
      </c>
      <c r="C142" s="180" t="s">
        <v>100</v>
      </c>
      <c r="D142" s="191">
        <v>0</v>
      </c>
      <c r="E142" s="191">
        <f>'Realisasi April'!G135</f>
        <v>0</v>
      </c>
      <c r="F142" s="191">
        <v>0</v>
      </c>
      <c r="G142" s="191">
        <f>E142+F142</f>
        <v>0</v>
      </c>
      <c r="H142" s="236"/>
      <c r="I142" s="207"/>
      <c r="J142" s="175"/>
    </row>
    <row r="143" spans="1:10" s="176" customFormat="1" x14ac:dyDescent="0.25">
      <c r="A143" s="169"/>
      <c r="B143" s="170"/>
      <c r="C143" s="185"/>
      <c r="D143" s="191"/>
      <c r="E143" s="191"/>
      <c r="F143" s="191"/>
      <c r="G143" s="191"/>
      <c r="H143" s="236"/>
      <c r="I143" s="207"/>
      <c r="J143" s="175"/>
    </row>
    <row r="144" spans="1:10" s="176" customFormat="1" x14ac:dyDescent="0.25">
      <c r="A144" s="168" t="s">
        <v>66</v>
      </c>
      <c r="B144" s="189" t="s">
        <v>328</v>
      </c>
      <c r="C144" s="180" t="s">
        <v>101</v>
      </c>
      <c r="D144" s="191">
        <f>SUM(D145:D155)</f>
        <v>1175758877</v>
      </c>
      <c r="E144" s="191">
        <f t="shared" ref="E144:G144" si="60">SUM(E145:E155)</f>
        <v>1348265063</v>
      </c>
      <c r="F144" s="191">
        <f t="shared" si="60"/>
        <v>452786643</v>
      </c>
      <c r="G144" s="191">
        <f t="shared" si="60"/>
        <v>1801051706</v>
      </c>
      <c r="H144" s="236">
        <f t="shared" ref="H144:H152" si="61">G144/D144</f>
        <v>1.5318206319610888</v>
      </c>
      <c r="I144" s="207"/>
      <c r="J144" s="175"/>
    </row>
    <row r="145" spans="1:10" s="176" customFormat="1" x14ac:dyDescent="0.25">
      <c r="A145" s="188"/>
      <c r="B145" s="190" t="s">
        <v>329</v>
      </c>
      <c r="C145" s="33" t="s">
        <v>102</v>
      </c>
      <c r="D145" s="192">
        <v>12881622</v>
      </c>
      <c r="E145" s="192">
        <f>'Realisasi Okt'!G145</f>
        <v>20840376</v>
      </c>
      <c r="F145" s="192">
        <v>1052602</v>
      </c>
      <c r="G145" s="192">
        <f>E145+F145</f>
        <v>21892978</v>
      </c>
      <c r="H145" s="24">
        <f t="shared" si="61"/>
        <v>1.699551345319712</v>
      </c>
      <c r="I145" s="207"/>
      <c r="J145" s="175"/>
    </row>
    <row r="146" spans="1:10" s="176" customFormat="1" x14ac:dyDescent="0.25">
      <c r="A146" s="188"/>
      <c r="B146" s="190" t="s">
        <v>330</v>
      </c>
      <c r="C146" s="33" t="s">
        <v>103</v>
      </c>
      <c r="D146" s="192">
        <v>20147339</v>
      </c>
      <c r="E146" s="192">
        <f>'Realisasi Okt'!G146</f>
        <v>42513553</v>
      </c>
      <c r="F146" s="192">
        <v>4509864</v>
      </c>
      <c r="G146" s="192">
        <f t="shared" ref="G146:G154" si="62">E146+F146</f>
        <v>47023417</v>
      </c>
      <c r="H146" s="24">
        <f t="shared" si="61"/>
        <v>2.3339765613712062</v>
      </c>
      <c r="I146" s="207"/>
      <c r="J146" s="175"/>
    </row>
    <row r="147" spans="1:10" s="176" customFormat="1" x14ac:dyDescent="0.25">
      <c r="A147" s="188"/>
      <c r="B147" s="190" t="s">
        <v>331</v>
      </c>
      <c r="C147" s="33" t="s">
        <v>104</v>
      </c>
      <c r="D147" s="192">
        <v>8222100</v>
      </c>
      <c r="E147" s="192">
        <f>'Realisasi Okt'!G147</f>
        <v>26789430</v>
      </c>
      <c r="F147" s="192">
        <v>7241527</v>
      </c>
      <c r="G147" s="192">
        <f t="shared" si="62"/>
        <v>34030957</v>
      </c>
      <c r="H147" s="24">
        <f t="shared" si="61"/>
        <v>4.1389617007820387</v>
      </c>
      <c r="I147" s="207"/>
      <c r="J147" s="175"/>
    </row>
    <row r="148" spans="1:10" s="176" customFormat="1" x14ac:dyDescent="0.25">
      <c r="A148" s="188"/>
      <c r="B148" s="190" t="s">
        <v>332</v>
      </c>
      <c r="C148" s="33" t="s">
        <v>105</v>
      </c>
      <c r="D148" s="192">
        <v>1112877</v>
      </c>
      <c r="E148" s="192">
        <f>'Realisasi Okt'!G148</f>
        <v>2085545</v>
      </c>
      <c r="F148" s="192">
        <v>617435</v>
      </c>
      <c r="G148" s="192">
        <f t="shared" si="62"/>
        <v>2702980</v>
      </c>
      <c r="H148" s="24">
        <f t="shared" si="61"/>
        <v>2.4288218733966107</v>
      </c>
      <c r="I148" s="207"/>
      <c r="J148" s="175"/>
    </row>
    <row r="149" spans="1:10" s="176" customFormat="1" x14ac:dyDescent="0.25">
      <c r="A149" s="188"/>
      <c r="B149" s="190" t="s">
        <v>333</v>
      </c>
      <c r="C149" s="33" t="s">
        <v>106</v>
      </c>
      <c r="D149" s="192">
        <v>818170264</v>
      </c>
      <c r="E149" s="192">
        <f>'Realisasi Okt'!G149</f>
        <v>862809026</v>
      </c>
      <c r="F149" s="192">
        <v>24</v>
      </c>
      <c r="G149" s="192">
        <f t="shared" si="62"/>
        <v>862809050</v>
      </c>
      <c r="H149" s="24">
        <f t="shared" si="61"/>
        <v>1.0545592866963447</v>
      </c>
      <c r="I149" s="207"/>
      <c r="J149" s="175"/>
    </row>
    <row r="150" spans="1:10" s="176" customFormat="1" x14ac:dyDescent="0.25">
      <c r="A150" s="188"/>
      <c r="B150" s="190" t="s">
        <v>334</v>
      </c>
      <c r="C150" s="33" t="s">
        <v>107</v>
      </c>
      <c r="D150" s="192">
        <v>2128173</v>
      </c>
      <c r="E150" s="192">
        <f>'Realisasi Okt'!G150</f>
        <v>6047457</v>
      </c>
      <c r="F150" s="192">
        <v>128484</v>
      </c>
      <c r="G150" s="192">
        <f t="shared" si="62"/>
        <v>6175941</v>
      </c>
      <c r="H150" s="24">
        <f t="shared" si="61"/>
        <v>2.9019919903128177</v>
      </c>
      <c r="I150" s="207"/>
      <c r="J150" s="175"/>
    </row>
    <row r="151" spans="1:10" s="176" customFormat="1" x14ac:dyDescent="0.25">
      <c r="A151" s="188"/>
      <c r="B151" s="190" t="s">
        <v>335</v>
      </c>
      <c r="C151" s="33" t="s">
        <v>108</v>
      </c>
      <c r="D151" s="192">
        <v>11665567</v>
      </c>
      <c r="E151" s="192">
        <f>'Realisasi Okt'!G151</f>
        <v>18321074</v>
      </c>
      <c r="F151" s="192">
        <v>199271</v>
      </c>
      <c r="G151" s="192">
        <f t="shared" si="62"/>
        <v>18520345</v>
      </c>
      <c r="H151" s="24">
        <f t="shared" si="61"/>
        <v>1.5876077862310507</v>
      </c>
      <c r="I151" s="207"/>
      <c r="J151" s="175"/>
    </row>
    <row r="152" spans="1:10" s="176" customFormat="1" x14ac:dyDescent="0.25">
      <c r="A152" s="188"/>
      <c r="B152" s="190" t="s">
        <v>336</v>
      </c>
      <c r="C152" s="33" t="s">
        <v>109</v>
      </c>
      <c r="D152" s="192">
        <v>1001910</v>
      </c>
      <c r="E152" s="192">
        <f>'Realisasi Okt'!G152</f>
        <v>4191830</v>
      </c>
      <c r="F152" s="192">
        <v>32500</v>
      </c>
      <c r="G152" s="192">
        <f t="shared" si="62"/>
        <v>4224330</v>
      </c>
      <c r="H152" s="24">
        <f t="shared" si="61"/>
        <v>4.2162769110997997</v>
      </c>
      <c r="I152" s="207"/>
      <c r="J152" s="175"/>
    </row>
    <row r="153" spans="1:10" s="176" customFormat="1" x14ac:dyDescent="0.25">
      <c r="A153" s="188"/>
      <c r="B153" s="190" t="s">
        <v>484</v>
      </c>
      <c r="C153" s="33" t="s">
        <v>482</v>
      </c>
      <c r="D153" s="192">
        <v>0</v>
      </c>
      <c r="E153" s="192">
        <f>'Realisasi Okt'!G153</f>
        <v>0</v>
      </c>
      <c r="F153" s="192"/>
      <c r="G153" s="192">
        <f t="shared" si="62"/>
        <v>0</v>
      </c>
      <c r="H153" s="24"/>
      <c r="I153" s="207"/>
      <c r="J153" s="175"/>
    </row>
    <row r="154" spans="1:10" s="176" customFormat="1" x14ac:dyDescent="0.25">
      <c r="A154" s="188"/>
      <c r="B154" s="190" t="s">
        <v>337</v>
      </c>
      <c r="C154" s="33" t="s">
        <v>110</v>
      </c>
      <c r="D154" s="192">
        <v>300429025</v>
      </c>
      <c r="E154" s="192">
        <f>'Realisasi Okt'!G154</f>
        <v>364666772</v>
      </c>
      <c r="F154" s="192">
        <v>439004936</v>
      </c>
      <c r="G154" s="192">
        <f t="shared" si="62"/>
        <v>803671708</v>
      </c>
      <c r="H154" s="24">
        <f>G154/D154</f>
        <v>2.6750801058586133</v>
      </c>
      <c r="I154" s="207"/>
      <c r="J154" s="175"/>
    </row>
    <row r="155" spans="1:10" s="176" customFormat="1" x14ac:dyDescent="0.25">
      <c r="A155" s="188"/>
      <c r="B155" s="190" t="s">
        <v>485</v>
      </c>
      <c r="C155" s="33" t="s">
        <v>483</v>
      </c>
      <c r="D155" s="192"/>
      <c r="E155" s="192">
        <f>'Realisasi Sept'!G155</f>
        <v>0</v>
      </c>
      <c r="F155" s="192"/>
      <c r="G155" s="192">
        <f>F155-D155</f>
        <v>0</v>
      </c>
      <c r="H155" s="252" t="e">
        <f>G155/D155</f>
        <v>#DIV/0!</v>
      </c>
      <c r="I155" s="207"/>
      <c r="J155" s="175"/>
    </row>
    <row r="156" spans="1:10" s="176" customFormat="1" x14ac:dyDescent="0.25">
      <c r="A156" s="169"/>
      <c r="B156" s="170"/>
      <c r="C156" s="180"/>
      <c r="D156" s="191"/>
      <c r="E156" s="191"/>
      <c r="F156" s="191"/>
      <c r="G156" s="191"/>
      <c r="H156" s="252"/>
      <c r="I156" s="207"/>
      <c r="J156" s="175"/>
    </row>
    <row r="157" spans="1:10" s="176" customFormat="1" x14ac:dyDescent="0.25">
      <c r="A157" s="168" t="s">
        <v>73</v>
      </c>
      <c r="B157" s="189" t="s">
        <v>327</v>
      </c>
      <c r="C157" s="185" t="s">
        <v>111</v>
      </c>
      <c r="D157" s="191"/>
      <c r="E157" s="191">
        <f>'Realisasi April'!G150</f>
        <v>0</v>
      </c>
      <c r="F157" s="191"/>
      <c r="G157" s="191"/>
      <c r="H157" s="253" t="e">
        <f t="shared" ref="H157" si="63">G157/D157</f>
        <v>#DIV/0!</v>
      </c>
      <c r="I157" s="207"/>
      <c r="J157" s="175"/>
    </row>
    <row r="158" spans="1:10" s="176" customFormat="1" x14ac:dyDescent="0.25">
      <c r="A158" s="169"/>
      <c r="B158" s="170"/>
      <c r="C158" s="185"/>
      <c r="D158" s="191"/>
      <c r="E158" s="191"/>
      <c r="F158" s="191"/>
      <c r="G158" s="191"/>
      <c r="H158" s="236"/>
      <c r="I158" s="207"/>
      <c r="J158" s="175"/>
    </row>
    <row r="159" spans="1:10" s="176" customFormat="1" x14ac:dyDescent="0.25">
      <c r="A159" s="168" t="s">
        <v>74</v>
      </c>
      <c r="B159" s="189" t="s">
        <v>338</v>
      </c>
      <c r="C159" s="34" t="s">
        <v>339</v>
      </c>
      <c r="D159" s="191">
        <f>D160+D163</f>
        <v>32560678</v>
      </c>
      <c r="E159" s="191">
        <f>E160+E163</f>
        <v>127395650</v>
      </c>
      <c r="F159" s="191">
        <f t="shared" ref="F159:G159" si="64">F160+F163</f>
        <v>22014024.84</v>
      </c>
      <c r="G159" s="191">
        <f t="shared" si="64"/>
        <v>149409674.84</v>
      </c>
      <c r="H159" s="277">
        <f>G159/D159</f>
        <v>4.588653677297506</v>
      </c>
      <c r="I159" s="207"/>
      <c r="J159" s="175"/>
    </row>
    <row r="160" spans="1:10" s="176" customFormat="1" x14ac:dyDescent="0.25">
      <c r="A160" s="169"/>
      <c r="B160" s="189" t="s">
        <v>596</v>
      </c>
      <c r="C160" s="180" t="s">
        <v>598</v>
      </c>
      <c r="D160" s="191">
        <f>D161</f>
        <v>15000000</v>
      </c>
      <c r="E160" s="191">
        <f>E161</f>
        <v>33269770</v>
      </c>
      <c r="F160" s="191">
        <f t="shared" ref="F160:G160" si="65">F161</f>
        <v>20444024.84</v>
      </c>
      <c r="G160" s="191">
        <f t="shared" si="65"/>
        <v>53713794.840000004</v>
      </c>
      <c r="H160" s="277">
        <f>G160/D160</f>
        <v>3.5809196560000003</v>
      </c>
      <c r="I160" s="207"/>
      <c r="J160" s="175"/>
    </row>
    <row r="161" spans="1:10" s="176" customFormat="1" x14ac:dyDescent="0.25">
      <c r="A161" s="169"/>
      <c r="B161" s="190" t="s">
        <v>597</v>
      </c>
      <c r="C161" s="33" t="s">
        <v>598</v>
      </c>
      <c r="D161" s="192">
        <v>15000000</v>
      </c>
      <c r="E161" s="192">
        <f>'Realisasi Okt'!G161</f>
        <v>33269770</v>
      </c>
      <c r="F161" s="192">
        <v>20444024.84</v>
      </c>
      <c r="G161" s="192">
        <f>E161+F161</f>
        <v>53713794.840000004</v>
      </c>
      <c r="H161" s="278">
        <f>G161/D161</f>
        <v>3.5809196560000003</v>
      </c>
      <c r="I161" s="207"/>
      <c r="J161" s="175"/>
    </row>
    <row r="162" spans="1:10" s="176" customFormat="1" x14ac:dyDescent="0.25">
      <c r="A162" s="169"/>
      <c r="B162" s="170"/>
      <c r="C162" s="180"/>
      <c r="D162" s="191"/>
      <c r="E162" s="191"/>
      <c r="F162" s="191"/>
      <c r="G162" s="191"/>
      <c r="H162" s="277"/>
      <c r="I162" s="207"/>
      <c r="J162" s="175"/>
    </row>
    <row r="163" spans="1:10" s="176" customFormat="1" x14ac:dyDescent="0.25">
      <c r="A163" s="169"/>
      <c r="B163" s="189" t="s">
        <v>599</v>
      </c>
      <c r="C163" s="180" t="s">
        <v>601</v>
      </c>
      <c r="D163" s="191">
        <f>D164</f>
        <v>17560678</v>
      </c>
      <c r="E163" s="191">
        <f>E164</f>
        <v>94125880</v>
      </c>
      <c r="F163" s="191">
        <f t="shared" ref="F163:G163" si="66">F164</f>
        <v>1570000</v>
      </c>
      <c r="G163" s="191">
        <f t="shared" si="66"/>
        <v>95695880</v>
      </c>
      <c r="H163" s="277">
        <f>G163/D163</f>
        <v>5.4494410751111086</v>
      </c>
      <c r="I163" s="207"/>
      <c r="J163" s="175"/>
    </row>
    <row r="164" spans="1:10" s="176" customFormat="1" x14ac:dyDescent="0.25">
      <c r="A164" s="169"/>
      <c r="B164" s="190" t="s">
        <v>600</v>
      </c>
      <c r="C164" s="33" t="s">
        <v>601</v>
      </c>
      <c r="D164" s="192">
        <v>17560678</v>
      </c>
      <c r="E164" s="192">
        <f>'Realisasi Okt'!G164</f>
        <v>94125880</v>
      </c>
      <c r="F164" s="192">
        <v>1570000</v>
      </c>
      <c r="G164" s="192">
        <f>E164+F164</f>
        <v>95695880</v>
      </c>
      <c r="H164" s="278">
        <f>G164/D164</f>
        <v>5.4494410751111086</v>
      </c>
      <c r="I164" s="207"/>
      <c r="J164" s="175"/>
    </row>
    <row r="165" spans="1:10" s="176" customFormat="1" x14ac:dyDescent="0.25">
      <c r="A165" s="169"/>
      <c r="B165" s="190"/>
      <c r="C165" s="33"/>
      <c r="D165" s="192"/>
      <c r="E165" s="192"/>
      <c r="F165" s="192"/>
      <c r="G165" s="181"/>
      <c r="H165" s="278"/>
      <c r="I165" s="207"/>
      <c r="J165" s="175"/>
    </row>
    <row r="166" spans="1:10" s="176" customFormat="1" x14ac:dyDescent="0.25">
      <c r="A166" s="168" t="s">
        <v>81</v>
      </c>
      <c r="B166" s="22" t="s">
        <v>306</v>
      </c>
      <c r="C166" s="185" t="s">
        <v>75</v>
      </c>
      <c r="D166" s="196">
        <f>D167</f>
        <v>145682205841</v>
      </c>
      <c r="E166" s="196">
        <f t="shared" ref="E166:G167" si="67">E167</f>
        <v>141806851905</v>
      </c>
      <c r="F166" s="196">
        <f t="shared" si="67"/>
        <v>21674168297</v>
      </c>
      <c r="G166" s="196">
        <f t="shared" si="67"/>
        <v>163481020202</v>
      </c>
      <c r="H166" s="236">
        <f t="shared" ref="H166:H198" si="68">G166/D166</f>
        <v>1.1221756237026361</v>
      </c>
      <c r="I166" s="207" t="s">
        <v>112</v>
      </c>
      <c r="J166" s="175"/>
    </row>
    <row r="167" spans="1:10" s="176" customFormat="1" x14ac:dyDescent="0.25">
      <c r="A167" s="168"/>
      <c r="B167" s="189" t="s">
        <v>340</v>
      </c>
      <c r="C167" s="185" t="s">
        <v>341</v>
      </c>
      <c r="D167" s="196">
        <f>D168</f>
        <v>145682205841</v>
      </c>
      <c r="E167" s="196">
        <f t="shared" si="67"/>
        <v>141806851905</v>
      </c>
      <c r="F167" s="196">
        <f t="shared" si="67"/>
        <v>21674168297</v>
      </c>
      <c r="G167" s="196">
        <f t="shared" si="67"/>
        <v>163481020202</v>
      </c>
      <c r="H167" s="236">
        <f t="shared" si="68"/>
        <v>1.1221756237026361</v>
      </c>
      <c r="I167" s="207"/>
      <c r="J167" s="175"/>
    </row>
    <row r="168" spans="1:10" s="176" customFormat="1" x14ac:dyDescent="0.25">
      <c r="A168" s="188"/>
      <c r="B168" s="178"/>
      <c r="C168" s="185" t="s">
        <v>113</v>
      </c>
      <c r="D168" s="196">
        <f>D169+D176+D182+D185+D189+D192+D195+D198+D202</f>
        <v>145682205841</v>
      </c>
      <c r="E168" s="196">
        <f t="shared" ref="E168:G168" si="69">E169+E176+E182+E185+E189+E192+E195+E198+E202</f>
        <v>141806851905</v>
      </c>
      <c r="F168" s="196">
        <f t="shared" si="69"/>
        <v>21674168297</v>
      </c>
      <c r="G168" s="196">
        <f t="shared" si="69"/>
        <v>163481020202</v>
      </c>
      <c r="H168" s="236">
        <f>G168/D168</f>
        <v>1.1221756237026361</v>
      </c>
      <c r="I168" s="207" t="s">
        <v>114</v>
      </c>
      <c r="J168" s="175"/>
    </row>
    <row r="169" spans="1:10" s="176" customFormat="1" x14ac:dyDescent="0.25">
      <c r="A169" s="188"/>
      <c r="B169" s="178"/>
      <c r="C169" s="35" t="s">
        <v>115</v>
      </c>
      <c r="D169" s="191">
        <f>SUM(D170:D175)</f>
        <v>11999955000</v>
      </c>
      <c r="E169" s="191">
        <f t="shared" ref="E169:G169" si="70">SUM(E170:E175)</f>
        <v>8364646574</v>
      </c>
      <c r="F169" s="191">
        <f t="shared" si="70"/>
        <v>818171756</v>
      </c>
      <c r="G169" s="196">
        <f t="shared" si="70"/>
        <v>9182818330</v>
      </c>
      <c r="H169" s="236">
        <f t="shared" si="68"/>
        <v>0.76523773047482258</v>
      </c>
      <c r="I169" s="207"/>
      <c r="J169" s="175"/>
    </row>
    <row r="170" spans="1:10" s="176" customFormat="1" x14ac:dyDescent="0.25">
      <c r="A170" s="188"/>
      <c r="B170" s="178"/>
      <c r="C170" s="171" t="s">
        <v>116</v>
      </c>
      <c r="D170" s="192">
        <v>945785000</v>
      </c>
      <c r="E170" s="192">
        <f>'Realisasi Okt'!G170</f>
        <v>739151749</v>
      </c>
      <c r="F170" s="192">
        <v>70890980</v>
      </c>
      <c r="G170" s="181">
        <f>E170+F170</f>
        <v>810042729</v>
      </c>
      <c r="H170" s="24">
        <f t="shared" si="68"/>
        <v>0.85647660832007277</v>
      </c>
      <c r="I170" s="207"/>
      <c r="J170" s="175"/>
    </row>
    <row r="171" spans="1:10" s="176" customFormat="1" x14ac:dyDescent="0.25">
      <c r="A171" s="188"/>
      <c r="B171" s="178"/>
      <c r="C171" s="171" t="s">
        <v>117</v>
      </c>
      <c r="D171" s="192">
        <v>1858720000</v>
      </c>
      <c r="E171" s="192">
        <f>'Realisasi Okt'!G171</f>
        <v>1240379148</v>
      </c>
      <c r="F171" s="192">
        <v>103958940</v>
      </c>
      <c r="G171" s="181">
        <f t="shared" ref="G171:G175" si="71">E171+F171</f>
        <v>1344338088</v>
      </c>
      <c r="H171" s="24">
        <f t="shared" si="68"/>
        <v>0.72326014031161234</v>
      </c>
      <c r="I171" s="207"/>
      <c r="J171" s="175"/>
    </row>
    <row r="172" spans="1:10" s="176" customFormat="1" x14ac:dyDescent="0.25">
      <c r="A172" s="188"/>
      <c r="B172" s="178"/>
      <c r="C172" s="171" t="s">
        <v>118</v>
      </c>
      <c r="D172" s="192">
        <v>5641950000</v>
      </c>
      <c r="E172" s="192">
        <f>'Realisasi Okt'!G172</f>
        <v>3542703803</v>
      </c>
      <c r="F172" s="192">
        <v>316693229</v>
      </c>
      <c r="G172" s="181">
        <f t="shared" si="71"/>
        <v>3859397032</v>
      </c>
      <c r="H172" s="24">
        <f t="shared" si="68"/>
        <v>0.68405374595662849</v>
      </c>
      <c r="I172" s="207"/>
      <c r="J172" s="175"/>
    </row>
    <row r="173" spans="1:10" s="176" customFormat="1" x14ac:dyDescent="0.25">
      <c r="A173" s="188"/>
      <c r="B173" s="178"/>
      <c r="C173" s="171" t="s">
        <v>119</v>
      </c>
      <c r="D173" s="192">
        <v>1970100000</v>
      </c>
      <c r="E173" s="192">
        <f>'Realisasi Okt'!G173</f>
        <v>1435088664</v>
      </c>
      <c r="F173" s="192">
        <v>141364464</v>
      </c>
      <c r="G173" s="181">
        <f t="shared" si="71"/>
        <v>1576453128</v>
      </c>
      <c r="H173" s="24">
        <f t="shared" si="68"/>
        <v>0.80018939546215928</v>
      </c>
      <c r="I173" s="207"/>
      <c r="J173" s="175"/>
    </row>
    <row r="174" spans="1:10" s="176" customFormat="1" x14ac:dyDescent="0.25">
      <c r="A174" s="188"/>
      <c r="B174" s="178"/>
      <c r="C174" s="171" t="s">
        <v>120</v>
      </c>
      <c r="D174" s="192">
        <v>70400000</v>
      </c>
      <c r="E174" s="192">
        <f>'Realisasi Okt'!G174</f>
        <v>31215600</v>
      </c>
      <c r="F174" s="192">
        <v>1950000</v>
      </c>
      <c r="G174" s="181">
        <f t="shared" si="71"/>
        <v>33165600</v>
      </c>
      <c r="H174" s="24">
        <f t="shared" si="68"/>
        <v>0.47110227272727273</v>
      </c>
      <c r="I174" s="207"/>
      <c r="J174" s="175"/>
    </row>
    <row r="175" spans="1:10" s="176" customFormat="1" x14ac:dyDescent="0.25">
      <c r="A175" s="188"/>
      <c r="B175" s="178"/>
      <c r="C175" s="171" t="s">
        <v>121</v>
      </c>
      <c r="D175" s="192">
        <v>1513000000</v>
      </c>
      <c r="E175" s="192">
        <f>'Realisasi Okt'!G175</f>
        <v>1376107610</v>
      </c>
      <c r="F175" s="192">
        <v>183314143</v>
      </c>
      <c r="G175" s="181">
        <f t="shared" si="71"/>
        <v>1559421753</v>
      </c>
      <c r="H175" s="24">
        <f t="shared" si="68"/>
        <v>1.0306819253139459</v>
      </c>
      <c r="I175" s="207"/>
      <c r="J175" s="175"/>
    </row>
    <row r="176" spans="1:10" s="176" customFormat="1" x14ac:dyDescent="0.25">
      <c r="A176" s="188"/>
      <c r="B176" s="178"/>
      <c r="C176" s="185" t="s">
        <v>122</v>
      </c>
      <c r="D176" s="191">
        <f>SUM(D177:D181)</f>
        <v>64267216000</v>
      </c>
      <c r="E176" s="191">
        <f t="shared" ref="E176:F176" si="72">SUM(E177:E181)</f>
        <v>62844012690</v>
      </c>
      <c r="F176" s="191">
        <f t="shared" si="72"/>
        <v>7499603439</v>
      </c>
      <c r="G176" s="196">
        <f t="shared" ref="G176" si="73">SUM(G177:G181)</f>
        <v>70343616129</v>
      </c>
      <c r="H176" s="236">
        <f t="shared" si="68"/>
        <v>1.0945489863603242</v>
      </c>
      <c r="I176" s="207"/>
      <c r="J176" s="175"/>
    </row>
    <row r="177" spans="1:10" s="176" customFormat="1" x14ac:dyDescent="0.25">
      <c r="A177" s="188"/>
      <c r="B177" s="178"/>
      <c r="C177" s="171" t="s">
        <v>117</v>
      </c>
      <c r="D177" s="192">
        <v>20349000000</v>
      </c>
      <c r="E177" s="192">
        <f>'Realisasi Okt'!G177</f>
        <v>19062611600</v>
      </c>
      <c r="F177" s="192">
        <v>2342122700</v>
      </c>
      <c r="G177" s="181">
        <f>E177+F177</f>
        <v>21404734300</v>
      </c>
      <c r="H177" s="24">
        <f t="shared" si="68"/>
        <v>1.0518813848346356</v>
      </c>
      <c r="I177" s="207"/>
      <c r="J177" s="175"/>
    </row>
    <row r="178" spans="1:10" s="176" customFormat="1" x14ac:dyDescent="0.25">
      <c r="A178" s="188"/>
      <c r="B178" s="178"/>
      <c r="C178" s="171" t="s">
        <v>118</v>
      </c>
      <c r="D178" s="192">
        <v>41013056000</v>
      </c>
      <c r="E178" s="192">
        <f>'Realisasi Okt'!G178</f>
        <v>41166679055</v>
      </c>
      <c r="F178" s="192">
        <v>4901495610</v>
      </c>
      <c r="G178" s="181">
        <f t="shared" ref="G178:G181" si="74">E178+F178</f>
        <v>46068174665</v>
      </c>
      <c r="H178" s="24">
        <f t="shared" si="68"/>
        <v>1.1232563275704206</v>
      </c>
      <c r="I178" s="207"/>
      <c r="J178" s="175"/>
    </row>
    <row r="179" spans="1:10" s="176" customFormat="1" x14ac:dyDescent="0.25">
      <c r="A179" s="188"/>
      <c r="B179" s="178"/>
      <c r="C179" s="171" t="s">
        <v>123</v>
      </c>
      <c r="D179" s="192">
        <v>287520000</v>
      </c>
      <c r="E179" s="192">
        <f>'Realisasi Okt'!G179</f>
        <v>285750000</v>
      </c>
      <c r="F179" s="192">
        <v>22500000</v>
      </c>
      <c r="G179" s="181">
        <f t="shared" si="74"/>
        <v>308250000</v>
      </c>
      <c r="H179" s="24">
        <f t="shared" si="68"/>
        <v>1.0720993322203674</v>
      </c>
      <c r="I179" s="207"/>
      <c r="J179" s="175"/>
    </row>
    <row r="180" spans="1:10" s="176" customFormat="1" x14ac:dyDescent="0.25">
      <c r="A180" s="188"/>
      <c r="B180" s="178"/>
      <c r="C180" s="171" t="s">
        <v>124</v>
      </c>
      <c r="D180" s="192">
        <v>2461640000</v>
      </c>
      <c r="E180" s="192">
        <f>'Realisasi Okt'!G180</f>
        <v>2145734435</v>
      </c>
      <c r="F180" s="192">
        <v>219445129</v>
      </c>
      <c r="G180" s="181">
        <f t="shared" si="74"/>
        <v>2365179564</v>
      </c>
      <c r="H180" s="24">
        <f t="shared" si="68"/>
        <v>0.96081456427422374</v>
      </c>
      <c r="I180" s="207"/>
      <c r="J180" s="175"/>
    </row>
    <row r="181" spans="1:10" s="176" customFormat="1" x14ac:dyDescent="0.25">
      <c r="A181" s="188"/>
      <c r="B181" s="178"/>
      <c r="C181" s="171" t="s">
        <v>120</v>
      </c>
      <c r="D181" s="192">
        <v>156000000</v>
      </c>
      <c r="E181" s="192">
        <f>'Realisasi Okt'!G181</f>
        <v>183237600</v>
      </c>
      <c r="F181" s="192">
        <v>14040000</v>
      </c>
      <c r="G181" s="181">
        <f t="shared" si="74"/>
        <v>197277600</v>
      </c>
      <c r="H181" s="24">
        <f t="shared" si="68"/>
        <v>1.2645999999999999</v>
      </c>
      <c r="I181" s="207"/>
      <c r="J181" s="175"/>
    </row>
    <row r="182" spans="1:10" s="176" customFormat="1" x14ac:dyDescent="0.25">
      <c r="A182" s="188"/>
      <c r="B182" s="178"/>
      <c r="C182" s="185" t="s">
        <v>125</v>
      </c>
      <c r="D182" s="191">
        <f>SUM(D183:D184)</f>
        <v>62996250000</v>
      </c>
      <c r="E182" s="191">
        <f t="shared" ref="E182:F182" si="75">SUM(E183:E184)</f>
        <v>63455403900</v>
      </c>
      <c r="F182" s="191">
        <f t="shared" si="75"/>
        <v>2221033150</v>
      </c>
      <c r="G182" s="196">
        <f t="shared" ref="G182" si="76">SUM(G183:G184)</f>
        <v>65676437050</v>
      </c>
      <c r="H182" s="236">
        <f t="shared" si="68"/>
        <v>1.0425451840387325</v>
      </c>
      <c r="I182" s="207"/>
      <c r="J182" s="175"/>
    </row>
    <row r="183" spans="1:10" s="176" customFormat="1" x14ac:dyDescent="0.25">
      <c r="A183" s="188"/>
      <c r="B183" s="178"/>
      <c r="C183" s="171" t="s">
        <v>117</v>
      </c>
      <c r="D183" s="192">
        <v>96250000</v>
      </c>
      <c r="E183" s="192">
        <f>'Realisasi Okt'!G183</f>
        <v>89200600</v>
      </c>
      <c r="F183" s="192">
        <v>0</v>
      </c>
      <c r="G183" s="181">
        <f>E183+F183</f>
        <v>89200600</v>
      </c>
      <c r="H183" s="24">
        <f t="shared" si="68"/>
        <v>0.92675948051948054</v>
      </c>
      <c r="I183" s="207"/>
      <c r="J183" s="175"/>
    </row>
    <row r="184" spans="1:10" s="176" customFormat="1" x14ac:dyDescent="0.25">
      <c r="A184" s="188"/>
      <c r="B184" s="178"/>
      <c r="C184" s="171" t="s">
        <v>118</v>
      </c>
      <c r="D184" s="192">
        <v>62900000000</v>
      </c>
      <c r="E184" s="192">
        <f>'Realisasi Okt'!G184</f>
        <v>63366203300</v>
      </c>
      <c r="F184" s="192">
        <v>2221033150</v>
      </c>
      <c r="G184" s="181">
        <f>E184+F184</f>
        <v>65587236450</v>
      </c>
      <c r="H184" s="24">
        <f t="shared" si="68"/>
        <v>1.0427223600953894</v>
      </c>
      <c r="I184" s="207"/>
      <c r="J184" s="175"/>
    </row>
    <row r="185" spans="1:10" s="176" customFormat="1" x14ac:dyDescent="0.25">
      <c r="A185" s="188"/>
      <c r="B185" s="178"/>
      <c r="C185" s="185" t="s">
        <v>126</v>
      </c>
      <c r="D185" s="191">
        <f>SUM(D186:D188)</f>
        <v>3270668000</v>
      </c>
      <c r="E185" s="191">
        <f>SUM(E186:E188)</f>
        <v>3825551874</v>
      </c>
      <c r="F185" s="191">
        <f t="shared" ref="F185:G185" si="77">SUM(F186:F188)</f>
        <v>442279600</v>
      </c>
      <c r="G185" s="196">
        <f t="shared" si="77"/>
        <v>4267831474</v>
      </c>
      <c r="H185" s="236">
        <f t="shared" si="68"/>
        <v>1.3048806769748564</v>
      </c>
      <c r="I185" s="207"/>
      <c r="J185" s="175"/>
    </row>
    <row r="186" spans="1:10" s="176" customFormat="1" x14ac:dyDescent="0.25">
      <c r="A186" s="188"/>
      <c r="B186" s="178"/>
      <c r="C186" s="171" t="s">
        <v>117</v>
      </c>
      <c r="D186" s="192">
        <v>583188000</v>
      </c>
      <c r="E186" s="192">
        <f>'Realisasi Okt'!G186</f>
        <v>518875718</v>
      </c>
      <c r="F186" s="192">
        <v>53132565</v>
      </c>
      <c r="G186" s="181">
        <f>E186+F186</f>
        <v>572008283</v>
      </c>
      <c r="H186" s="24">
        <f t="shared" si="68"/>
        <v>0.98082999478727273</v>
      </c>
      <c r="I186" s="207" t="s">
        <v>127</v>
      </c>
      <c r="J186" s="175"/>
    </row>
    <row r="187" spans="1:10" s="176" customFormat="1" x14ac:dyDescent="0.25">
      <c r="A187" s="188"/>
      <c r="B187" s="178"/>
      <c r="C187" s="171" t="s">
        <v>118</v>
      </c>
      <c r="D187" s="192">
        <v>2192520000</v>
      </c>
      <c r="E187" s="192">
        <f>'Realisasi Okt'!G187</f>
        <v>2656887178</v>
      </c>
      <c r="F187" s="192">
        <v>327477572</v>
      </c>
      <c r="G187" s="181">
        <f t="shared" ref="G187:G188" si="78">E187+F187</f>
        <v>2984364750</v>
      </c>
      <c r="H187" s="24">
        <f t="shared" si="68"/>
        <v>1.3611573668655246</v>
      </c>
      <c r="I187" s="207"/>
      <c r="J187" s="175"/>
    </row>
    <row r="188" spans="1:10" s="176" customFormat="1" x14ac:dyDescent="0.25">
      <c r="A188" s="188"/>
      <c r="B188" s="178"/>
      <c r="C188" s="171" t="s">
        <v>128</v>
      </c>
      <c r="D188" s="192">
        <v>494960000</v>
      </c>
      <c r="E188" s="192">
        <f>'Realisasi Okt'!G188</f>
        <v>649788978</v>
      </c>
      <c r="F188" s="192">
        <v>61669463</v>
      </c>
      <c r="G188" s="181">
        <f t="shared" si="78"/>
        <v>711458441</v>
      </c>
      <c r="H188" s="24">
        <f t="shared" si="68"/>
        <v>1.4374059338128333</v>
      </c>
      <c r="I188" s="207"/>
      <c r="J188" s="175"/>
    </row>
    <row r="189" spans="1:10" s="176" customFormat="1" x14ac:dyDescent="0.25">
      <c r="A189" s="169"/>
      <c r="B189" s="178"/>
      <c r="C189" s="185" t="s">
        <v>129</v>
      </c>
      <c r="D189" s="191">
        <f>SUM(D190:D191)</f>
        <v>2397579000</v>
      </c>
      <c r="E189" s="191">
        <f>SUM(E190:E191)</f>
        <v>1975768485</v>
      </c>
      <c r="F189" s="191">
        <f t="shared" ref="F189:G189" si="79">SUM(F190:F191)</f>
        <v>1064902147</v>
      </c>
      <c r="G189" s="196">
        <f t="shared" si="79"/>
        <v>3040670632</v>
      </c>
      <c r="H189" s="236">
        <f t="shared" si="68"/>
        <v>1.2682254190581415</v>
      </c>
      <c r="I189" s="207"/>
      <c r="J189" s="175"/>
    </row>
    <row r="190" spans="1:10" s="176" customFormat="1" x14ac:dyDescent="0.25">
      <c r="A190" s="188"/>
      <c r="B190" s="178"/>
      <c r="C190" s="171" t="s">
        <v>117</v>
      </c>
      <c r="D190" s="192">
        <v>57579000</v>
      </c>
      <c r="E190" s="192">
        <f>'Realisasi Okt'!G190</f>
        <v>199432552</v>
      </c>
      <c r="F190" s="192">
        <v>64651906</v>
      </c>
      <c r="G190" s="181">
        <f>E190+F190</f>
        <v>264084458</v>
      </c>
      <c r="H190" s="24">
        <f t="shared" si="68"/>
        <v>4.5864717692214176</v>
      </c>
      <c r="I190" s="207"/>
      <c r="J190" s="175"/>
    </row>
    <row r="191" spans="1:10" s="176" customFormat="1" x14ac:dyDescent="0.25">
      <c r="A191" s="188"/>
      <c r="B191" s="178"/>
      <c r="C191" s="171" t="s">
        <v>118</v>
      </c>
      <c r="D191" s="192">
        <v>2340000000</v>
      </c>
      <c r="E191" s="192">
        <f>'Realisasi Okt'!G191</f>
        <v>1776335933</v>
      </c>
      <c r="F191" s="192">
        <v>1000250241</v>
      </c>
      <c r="G191" s="181">
        <f>E191+F191</f>
        <v>2776586174</v>
      </c>
      <c r="H191" s="24">
        <f t="shared" si="68"/>
        <v>1.186575288034188</v>
      </c>
      <c r="I191" s="207"/>
      <c r="J191" s="175"/>
    </row>
    <row r="192" spans="1:10" s="176" customFormat="1" x14ac:dyDescent="0.25">
      <c r="A192" s="188"/>
      <c r="B192" s="178"/>
      <c r="C192" s="185" t="s">
        <v>729</v>
      </c>
      <c r="D192" s="191">
        <v>0</v>
      </c>
      <c r="E192" s="191">
        <f>'Realisasi Sept'!G192</f>
        <v>0</v>
      </c>
      <c r="F192" s="191">
        <v>8983719000</v>
      </c>
      <c r="G192" s="196">
        <f>E192+F192</f>
        <v>8983719000</v>
      </c>
      <c r="H192" s="253" t="e">
        <f t="shared" si="68"/>
        <v>#DIV/0!</v>
      </c>
      <c r="I192" s="207"/>
      <c r="J192" s="175"/>
    </row>
    <row r="193" spans="1:12" s="176" customFormat="1" ht="18.75" customHeight="1" x14ac:dyDescent="0.25">
      <c r="A193" s="188"/>
      <c r="B193" s="178"/>
      <c r="C193" s="171"/>
      <c r="D193" s="192">
        <v>0</v>
      </c>
      <c r="E193" s="192">
        <f>'Realisasi Okt'!G193</f>
        <v>0</v>
      </c>
      <c r="F193" s="192"/>
      <c r="G193" s="181">
        <f>E193+F193</f>
        <v>0</v>
      </c>
      <c r="H193" s="252" t="e">
        <f t="shared" si="68"/>
        <v>#DIV/0!</v>
      </c>
      <c r="I193" s="207"/>
      <c r="J193" s="175"/>
    </row>
    <row r="194" spans="1:12" s="176" customFormat="1" hidden="1" x14ac:dyDescent="0.25">
      <c r="A194" s="188"/>
      <c r="B194" s="178"/>
      <c r="C194" s="171"/>
      <c r="D194" s="192">
        <v>0</v>
      </c>
      <c r="E194" s="192">
        <f>'Realisasi Okt'!G194</f>
        <v>0</v>
      </c>
      <c r="F194" s="192"/>
      <c r="G194" s="181">
        <f>E194+F194</f>
        <v>0</v>
      </c>
      <c r="H194" s="252" t="e">
        <f t="shared" si="68"/>
        <v>#DIV/0!</v>
      </c>
      <c r="I194" s="207"/>
      <c r="J194" s="175"/>
    </row>
    <row r="195" spans="1:12" s="176" customFormat="1" x14ac:dyDescent="0.25">
      <c r="A195" s="188"/>
      <c r="B195" s="178"/>
      <c r="C195" s="185" t="s">
        <v>131</v>
      </c>
      <c r="D195" s="191">
        <f>SUM(D196:D197)</f>
        <v>90525000</v>
      </c>
      <c r="E195" s="191">
        <f t="shared" ref="E195:F195" si="80">SUM(E196:E197)</f>
        <v>309809211</v>
      </c>
      <c r="F195" s="191">
        <f t="shared" si="80"/>
        <v>615473768</v>
      </c>
      <c r="G195" s="196">
        <f t="shared" ref="G195" si="81">SUM(G196:G197)</f>
        <v>925282979</v>
      </c>
      <c r="H195" s="236">
        <f t="shared" si="68"/>
        <v>10.22129775200221</v>
      </c>
      <c r="I195" s="207"/>
      <c r="J195" s="175"/>
    </row>
    <row r="196" spans="1:12" s="176" customFormat="1" x14ac:dyDescent="0.25">
      <c r="A196" s="188"/>
      <c r="B196" s="178"/>
      <c r="C196" s="171" t="s">
        <v>117</v>
      </c>
      <c r="D196" s="192">
        <v>525000</v>
      </c>
      <c r="E196" s="192">
        <f>'Realisasi Okt'!G196</f>
        <v>3549441</v>
      </c>
      <c r="F196" s="192">
        <v>20701458</v>
      </c>
      <c r="G196" s="181">
        <f>E196+F196</f>
        <v>24250899</v>
      </c>
      <c r="H196" s="24">
        <f t="shared" si="68"/>
        <v>46.192188571428574</v>
      </c>
      <c r="I196" s="207"/>
      <c r="J196" s="175"/>
    </row>
    <row r="197" spans="1:12" s="176" customFormat="1" x14ac:dyDescent="0.25">
      <c r="A197" s="188"/>
      <c r="B197" s="178"/>
      <c r="C197" s="171" t="s">
        <v>118</v>
      </c>
      <c r="D197" s="192">
        <v>90000000</v>
      </c>
      <c r="E197" s="192">
        <f>'Realisasi Okt'!G197</f>
        <v>306259770</v>
      </c>
      <c r="F197" s="192">
        <v>594772310</v>
      </c>
      <c r="G197" s="181">
        <f>E197+F197</f>
        <v>901032080</v>
      </c>
      <c r="H197" s="24">
        <f t="shared" si="68"/>
        <v>10.011467555555555</v>
      </c>
      <c r="I197" s="207"/>
      <c r="J197" s="175"/>
    </row>
    <row r="198" spans="1:12" s="176" customFormat="1" x14ac:dyDescent="0.25">
      <c r="A198" s="188"/>
      <c r="B198" s="178"/>
      <c r="C198" s="185" t="s">
        <v>132</v>
      </c>
      <c r="D198" s="191">
        <f>SUM(D199:D201)</f>
        <v>510012841</v>
      </c>
      <c r="E198" s="191">
        <f t="shared" ref="E198:F198" si="82">SUM(E199:E201)</f>
        <v>780745000</v>
      </c>
      <c r="F198" s="191">
        <f t="shared" si="82"/>
        <v>7800000</v>
      </c>
      <c r="G198" s="196">
        <f t="shared" ref="G198" si="83">SUM(G199:G201)</f>
        <v>788545000</v>
      </c>
      <c r="H198" s="236">
        <f t="shared" si="68"/>
        <v>1.5461277375955325</v>
      </c>
      <c r="I198" s="207"/>
      <c r="J198" s="175"/>
    </row>
    <row r="199" spans="1:12" s="176" customFormat="1" x14ac:dyDescent="0.25">
      <c r="A199" s="188"/>
      <c r="B199" s="178"/>
      <c r="C199" s="171" t="s">
        <v>133</v>
      </c>
      <c r="D199" s="192"/>
      <c r="E199" s="192">
        <f>'Realisasi Okt'!G199</f>
        <v>0</v>
      </c>
      <c r="F199" s="192"/>
      <c r="G199" s="181">
        <f>E199+F199</f>
        <v>0</v>
      </c>
      <c r="H199" s="24"/>
      <c r="I199" s="207"/>
      <c r="J199" s="175"/>
    </row>
    <row r="200" spans="1:12" s="176" customFormat="1" x14ac:dyDescent="0.25">
      <c r="A200" s="188"/>
      <c r="B200" s="178"/>
      <c r="C200" s="171" t="s">
        <v>722</v>
      </c>
      <c r="D200" s="192">
        <v>80012841</v>
      </c>
      <c r="E200" s="192">
        <f>'Realisasi Okt'!G200</f>
        <v>96300000</v>
      </c>
      <c r="F200" s="192">
        <v>7600000</v>
      </c>
      <c r="G200" s="181">
        <f t="shared" ref="G200:G201" si="84">E200+F200</f>
        <v>103900000</v>
      </c>
      <c r="H200" s="24">
        <f>G200/D200</f>
        <v>1.298541567846591</v>
      </c>
      <c r="I200" s="207" t="s">
        <v>135</v>
      </c>
      <c r="J200" s="175"/>
    </row>
    <row r="201" spans="1:12" s="176" customFormat="1" x14ac:dyDescent="0.25">
      <c r="A201" s="188"/>
      <c r="B201" s="178"/>
      <c r="C201" s="171" t="s">
        <v>136</v>
      </c>
      <c r="D201" s="192">
        <v>430000000</v>
      </c>
      <c r="E201" s="192">
        <f>'Realisasi Okt'!G201</f>
        <v>684445000</v>
      </c>
      <c r="F201" s="192">
        <v>200000</v>
      </c>
      <c r="G201" s="181">
        <f t="shared" si="84"/>
        <v>684645000</v>
      </c>
      <c r="H201" s="24">
        <f>G201/D201</f>
        <v>1.5921976744186046</v>
      </c>
      <c r="I201" s="207"/>
      <c r="J201" s="175"/>
    </row>
    <row r="202" spans="1:12" s="176" customFormat="1" x14ac:dyDescent="0.25">
      <c r="A202" s="188"/>
      <c r="B202" s="178"/>
      <c r="C202" s="185" t="s">
        <v>137</v>
      </c>
      <c r="D202" s="191">
        <f>SUM(D203:D204)</f>
        <v>150000000</v>
      </c>
      <c r="E202" s="191">
        <f>SUM(E203:E204)</f>
        <v>250914171</v>
      </c>
      <c r="F202" s="191">
        <f t="shared" ref="F202:G202" si="85">SUM(F203:F204)</f>
        <v>21185437</v>
      </c>
      <c r="G202" s="196">
        <f t="shared" si="85"/>
        <v>272099608</v>
      </c>
      <c r="H202" s="236">
        <f>G202/D202</f>
        <v>1.8139973866666668</v>
      </c>
      <c r="I202" s="207"/>
      <c r="J202" s="175"/>
    </row>
    <row r="203" spans="1:12" s="176" customFormat="1" x14ac:dyDescent="0.25">
      <c r="A203" s="188"/>
      <c r="B203" s="178"/>
      <c r="C203" s="171" t="s">
        <v>138</v>
      </c>
      <c r="D203" s="192">
        <v>150000000</v>
      </c>
      <c r="E203" s="192">
        <f>'Realisasi Okt'!G203</f>
        <v>250914171</v>
      </c>
      <c r="F203" s="192">
        <v>21185437</v>
      </c>
      <c r="G203" s="181">
        <f>E203+F203</f>
        <v>272099608</v>
      </c>
      <c r="H203" s="24">
        <f>G203/D203</f>
        <v>1.8139973866666668</v>
      </c>
      <c r="I203" s="207" t="s">
        <v>139</v>
      </c>
      <c r="J203" s="175"/>
    </row>
    <row r="204" spans="1:12" s="176" customFormat="1" x14ac:dyDescent="0.25">
      <c r="A204" s="188"/>
      <c r="B204" s="178"/>
      <c r="C204" s="171" t="s">
        <v>140</v>
      </c>
      <c r="D204" s="192">
        <v>0</v>
      </c>
      <c r="E204" s="192">
        <f>'Realisasi Okt'!G204</f>
        <v>0</v>
      </c>
      <c r="F204" s="192"/>
      <c r="G204" s="181">
        <f>E204+F204</f>
        <v>0</v>
      </c>
      <c r="H204" s="252" t="e">
        <f>G204/D204</f>
        <v>#DIV/0!</v>
      </c>
      <c r="I204" s="207"/>
      <c r="J204" s="175"/>
    </row>
    <row r="205" spans="1:12" s="176" customFormat="1" x14ac:dyDescent="0.25">
      <c r="A205" s="188"/>
      <c r="B205" s="178"/>
      <c r="C205" s="171"/>
      <c r="D205" s="192"/>
      <c r="E205" s="192">
        <f>'Realisasi Sept'!G205</f>
        <v>0</v>
      </c>
      <c r="F205" s="192"/>
      <c r="G205" s="196"/>
      <c r="H205" s="236"/>
      <c r="I205" s="207"/>
      <c r="J205" s="175"/>
    </row>
    <row r="206" spans="1:12" s="176" customFormat="1" x14ac:dyDescent="0.25">
      <c r="A206" s="168" t="s">
        <v>452</v>
      </c>
      <c r="B206" s="22" t="s">
        <v>306</v>
      </c>
      <c r="C206" s="185" t="s">
        <v>75</v>
      </c>
      <c r="D206" s="191">
        <f>SUM(D207)</f>
        <v>14221114110</v>
      </c>
      <c r="E206" s="191">
        <f t="shared" ref="E206:F206" si="86">SUM(E207)</f>
        <v>11522453829.27</v>
      </c>
      <c r="F206" s="191">
        <f t="shared" si="86"/>
        <v>1228189759.4200001</v>
      </c>
      <c r="G206" s="196">
        <f t="shared" ref="G206" si="87">SUM(G207)</f>
        <v>12750643588.690001</v>
      </c>
      <c r="H206" s="236">
        <f t="shared" ref="H206:H218" si="88">G206/D206</f>
        <v>0.8965994851081327</v>
      </c>
      <c r="I206" s="207" t="s">
        <v>141</v>
      </c>
      <c r="J206" s="175"/>
    </row>
    <row r="207" spans="1:12" s="176" customFormat="1" x14ac:dyDescent="0.25">
      <c r="A207" s="188"/>
      <c r="B207" s="189" t="s">
        <v>340</v>
      </c>
      <c r="C207" s="185" t="s">
        <v>341</v>
      </c>
      <c r="D207" s="191">
        <f>D208</f>
        <v>14221114110</v>
      </c>
      <c r="E207" s="191">
        <f t="shared" ref="E207:F207" si="89">E208</f>
        <v>11522453829.27</v>
      </c>
      <c r="F207" s="191">
        <f t="shared" si="89"/>
        <v>1228189759.4200001</v>
      </c>
      <c r="G207" s="196">
        <f t="shared" ref="G207" si="90">G208</f>
        <v>12750643588.690001</v>
      </c>
      <c r="H207" s="236">
        <f t="shared" si="88"/>
        <v>0.8965994851081327</v>
      </c>
      <c r="I207" s="207" t="s">
        <v>143</v>
      </c>
      <c r="J207" s="294"/>
      <c r="K207" s="295"/>
      <c r="L207" s="295"/>
    </row>
    <row r="208" spans="1:12" s="176" customFormat="1" x14ac:dyDescent="0.25">
      <c r="A208" s="188"/>
      <c r="B208" s="178"/>
      <c r="C208" s="172" t="s">
        <v>142</v>
      </c>
      <c r="D208" s="191">
        <f>SUM(D209:D218)</f>
        <v>14221114110</v>
      </c>
      <c r="E208" s="191">
        <f>SUM(E209:E218)</f>
        <v>11522453829.27</v>
      </c>
      <c r="F208" s="191">
        <f t="shared" ref="F208:G208" si="91">SUM(F209:F218)</f>
        <v>1228189759.4200001</v>
      </c>
      <c r="G208" s="196">
        <f t="shared" si="91"/>
        <v>12750643588.690001</v>
      </c>
      <c r="H208" s="236">
        <f t="shared" si="88"/>
        <v>0.8965994851081327</v>
      </c>
      <c r="I208" s="207"/>
      <c r="J208" s="294"/>
      <c r="K208" s="295"/>
      <c r="L208" s="295"/>
    </row>
    <row r="209" spans="1:13" s="176" customFormat="1" x14ac:dyDescent="0.25">
      <c r="A209" s="188"/>
      <c r="B209" s="178"/>
      <c r="C209" s="171" t="s">
        <v>144</v>
      </c>
      <c r="D209" s="192">
        <v>1799030500</v>
      </c>
      <c r="E209" s="192">
        <f>'Realisasi Okt'!G209</f>
        <v>1358156468.9999998</v>
      </c>
      <c r="F209" s="192">
        <v>146686354.78999999</v>
      </c>
      <c r="G209" s="181">
        <f>E209+F209</f>
        <v>1504842823.7899997</v>
      </c>
      <c r="H209" s="24">
        <f t="shared" si="88"/>
        <v>0.83647432536024247</v>
      </c>
      <c r="I209" s="207" t="s">
        <v>145</v>
      </c>
      <c r="J209" s="294"/>
      <c r="K209" s="296"/>
      <c r="L209" s="295"/>
    </row>
    <row r="210" spans="1:13" s="176" customFormat="1" x14ac:dyDescent="0.25">
      <c r="A210" s="188"/>
      <c r="B210" s="178"/>
      <c r="C210" s="171" t="s">
        <v>146</v>
      </c>
      <c r="D210" s="192">
        <v>1055000000</v>
      </c>
      <c r="E210" s="192">
        <f>'Realisasi Okt'!G210</f>
        <v>866853446.11999989</v>
      </c>
      <c r="F210" s="192">
        <v>102665089.01000001</v>
      </c>
      <c r="G210" s="181">
        <f t="shared" ref="G210:G218" si="92">E210+F210</f>
        <v>969518535.12999988</v>
      </c>
      <c r="H210" s="24">
        <f t="shared" si="88"/>
        <v>0.9189749148151658</v>
      </c>
      <c r="I210" s="207"/>
      <c r="J210" s="280"/>
      <c r="K210" s="296"/>
      <c r="L210" s="282"/>
      <c r="M210" s="282"/>
    </row>
    <row r="211" spans="1:13" s="176" customFormat="1" x14ac:dyDescent="0.25">
      <c r="A211" s="188"/>
      <c r="B211" s="178"/>
      <c r="C211" s="171" t="s">
        <v>147</v>
      </c>
      <c r="D211" s="192">
        <v>1300000000</v>
      </c>
      <c r="E211" s="192">
        <f>'Realisasi Okt'!G211</f>
        <v>1075611509.72</v>
      </c>
      <c r="F211" s="192">
        <v>116787003.83</v>
      </c>
      <c r="G211" s="181">
        <f t="shared" si="92"/>
        <v>1192398513.55</v>
      </c>
      <c r="H211" s="24">
        <f t="shared" si="88"/>
        <v>0.91722962580769229</v>
      </c>
      <c r="I211" s="207" t="s">
        <v>148</v>
      </c>
      <c r="J211" s="280"/>
      <c r="K211" s="296"/>
      <c r="L211" s="282"/>
      <c r="M211" s="282"/>
    </row>
    <row r="212" spans="1:13" s="176" customFormat="1" x14ac:dyDescent="0.25">
      <c r="A212" s="188"/>
      <c r="B212" s="178"/>
      <c r="C212" s="171" t="s">
        <v>149</v>
      </c>
      <c r="D212" s="192">
        <v>2298598960</v>
      </c>
      <c r="E212" s="192">
        <f>'Realisasi Okt'!G212</f>
        <v>1882020527.9100003</v>
      </c>
      <c r="F212" s="192">
        <v>200538792.75999999</v>
      </c>
      <c r="G212" s="181">
        <f t="shared" si="92"/>
        <v>2082559320.6700003</v>
      </c>
      <c r="H212" s="24">
        <f t="shared" si="88"/>
        <v>0.90601246973069205</v>
      </c>
      <c r="I212" s="207" t="s">
        <v>150</v>
      </c>
      <c r="J212" s="280"/>
      <c r="K212" s="296"/>
      <c r="L212" s="282"/>
      <c r="M212" s="282"/>
    </row>
    <row r="213" spans="1:13" s="176" customFormat="1" x14ac:dyDescent="0.25">
      <c r="A213" s="188"/>
      <c r="B213" s="178"/>
      <c r="C213" s="171" t="s">
        <v>151</v>
      </c>
      <c r="D213" s="181">
        <v>922500000</v>
      </c>
      <c r="E213" s="192">
        <f>'Realisasi Okt'!G213</f>
        <v>745686637.71000004</v>
      </c>
      <c r="F213" s="181">
        <v>80919795.900000006</v>
      </c>
      <c r="G213" s="181">
        <f t="shared" si="92"/>
        <v>826606433.61000001</v>
      </c>
      <c r="H213" s="24">
        <f t="shared" si="88"/>
        <v>0.89605033453658534</v>
      </c>
      <c r="I213" s="207" t="s">
        <v>152</v>
      </c>
      <c r="J213" s="280"/>
      <c r="K213" s="296"/>
      <c r="L213" s="281">
        <f>J213-D213</f>
        <v>-922500000</v>
      </c>
      <c r="M213" s="282" t="s">
        <v>726</v>
      </c>
    </row>
    <row r="214" spans="1:13" s="176" customFormat="1" x14ac:dyDescent="0.25">
      <c r="A214" s="188"/>
      <c r="B214" s="178"/>
      <c r="C214" s="171" t="s">
        <v>153</v>
      </c>
      <c r="D214" s="192">
        <v>1105404000</v>
      </c>
      <c r="E214" s="192">
        <f>'Realisasi Okt'!G214</f>
        <v>923029033.94999993</v>
      </c>
      <c r="F214" s="192">
        <v>95749868.140000001</v>
      </c>
      <c r="G214" s="181">
        <f t="shared" si="92"/>
        <v>1018778902.0899999</v>
      </c>
      <c r="H214" s="24">
        <f t="shared" si="88"/>
        <v>0.9216348973678401</v>
      </c>
      <c r="I214" s="207"/>
      <c r="J214" s="280"/>
      <c r="K214" s="296"/>
      <c r="L214" s="282"/>
      <c r="M214" s="282"/>
    </row>
    <row r="215" spans="1:13" s="176" customFormat="1" x14ac:dyDescent="0.25">
      <c r="A215" s="188"/>
      <c r="B215" s="178"/>
      <c r="C215" s="171" t="s">
        <v>154</v>
      </c>
      <c r="D215" s="192">
        <v>609500000</v>
      </c>
      <c r="E215" s="192">
        <f>'Realisasi Okt'!G215</f>
        <v>513255425.85000002</v>
      </c>
      <c r="F215" s="181">
        <v>57812326.32</v>
      </c>
      <c r="G215" s="181">
        <f t="shared" si="92"/>
        <v>571067752.17000008</v>
      </c>
      <c r="H215" s="24">
        <f t="shared" si="88"/>
        <v>0.93694463030352759</v>
      </c>
      <c r="I215" s="207" t="s">
        <v>155</v>
      </c>
      <c r="J215" s="280"/>
      <c r="K215" s="296"/>
      <c r="L215" s="282" t="s">
        <v>671</v>
      </c>
      <c r="M215" s="282"/>
    </row>
    <row r="216" spans="1:13" s="176" customFormat="1" x14ac:dyDescent="0.25">
      <c r="A216" s="188"/>
      <c r="B216" s="178"/>
      <c r="C216" s="171" t="s">
        <v>156</v>
      </c>
      <c r="D216" s="192">
        <v>2380000000</v>
      </c>
      <c r="E216" s="192">
        <f>'Realisasi Okt'!G216</f>
        <v>1980303861.7599998</v>
      </c>
      <c r="F216" s="181">
        <v>202907791.78999999</v>
      </c>
      <c r="G216" s="181">
        <f t="shared" si="92"/>
        <v>2183211653.5499997</v>
      </c>
      <c r="H216" s="24">
        <f t="shared" si="88"/>
        <v>0.91731582081932761</v>
      </c>
      <c r="I216" s="207" t="s">
        <v>157</v>
      </c>
      <c r="J216" s="280"/>
      <c r="K216" s="281"/>
      <c r="L216" s="282"/>
      <c r="M216" s="282"/>
    </row>
    <row r="217" spans="1:13" s="176" customFormat="1" x14ac:dyDescent="0.25">
      <c r="A217" s="188"/>
      <c r="B217" s="178"/>
      <c r="C217" s="171" t="s">
        <v>158</v>
      </c>
      <c r="D217" s="192">
        <v>1110542000</v>
      </c>
      <c r="E217" s="192">
        <f>'Realisasi Okt'!G217</f>
        <v>944659130.37</v>
      </c>
      <c r="F217" s="192">
        <v>94347947.219999999</v>
      </c>
      <c r="G217" s="181">
        <f t="shared" si="92"/>
        <v>1039007077.59</v>
      </c>
      <c r="H217" s="24">
        <f t="shared" si="88"/>
        <v>0.93558557676341825</v>
      </c>
      <c r="I217" s="207" t="s">
        <v>159</v>
      </c>
      <c r="J217" s="294"/>
      <c r="K217" s="296"/>
      <c r="L217" s="295"/>
    </row>
    <row r="218" spans="1:13" s="176" customFormat="1" x14ac:dyDescent="0.25">
      <c r="A218" s="188"/>
      <c r="B218" s="178"/>
      <c r="C218" s="171" t="s">
        <v>160</v>
      </c>
      <c r="D218" s="192">
        <v>1640538650</v>
      </c>
      <c r="E218" s="192">
        <f>'Realisasi Okt'!G218</f>
        <v>1232877786.8800001</v>
      </c>
      <c r="F218" s="192">
        <v>129774789.66</v>
      </c>
      <c r="G218" s="181">
        <f t="shared" si="92"/>
        <v>1362652576.5400002</v>
      </c>
      <c r="H218" s="24">
        <f t="shared" si="88"/>
        <v>0.83061290664502185</v>
      </c>
      <c r="I218" s="207" t="s">
        <v>161</v>
      </c>
      <c r="J218" s="294"/>
      <c r="K218" s="296"/>
      <c r="L218" s="295"/>
    </row>
    <row r="219" spans="1:13" s="176" customFormat="1" x14ac:dyDescent="0.25">
      <c r="A219" s="188"/>
      <c r="B219" s="178"/>
      <c r="C219" s="171"/>
      <c r="D219" s="192"/>
      <c r="E219" s="192"/>
      <c r="F219" s="192"/>
      <c r="G219" s="181"/>
      <c r="H219" s="24"/>
      <c r="I219" s="207"/>
      <c r="J219" s="294"/>
      <c r="K219" s="295"/>
      <c r="L219" s="295"/>
    </row>
    <row r="220" spans="1:13" s="176" customFormat="1" x14ac:dyDescent="0.25">
      <c r="A220" s="168" t="s">
        <v>591</v>
      </c>
      <c r="B220" s="22" t="s">
        <v>306</v>
      </c>
      <c r="C220" s="185" t="s">
        <v>75</v>
      </c>
      <c r="D220" s="196">
        <f t="shared" ref="D220:G223" si="93">D221</f>
        <v>99495000</v>
      </c>
      <c r="E220" s="196">
        <f t="shared" si="93"/>
        <v>98178762</v>
      </c>
      <c r="F220" s="196">
        <f t="shared" si="93"/>
        <v>5973070</v>
      </c>
      <c r="G220" s="196">
        <f t="shared" si="93"/>
        <v>104151832</v>
      </c>
      <c r="H220" s="236">
        <f>G220/D220</f>
        <v>1.0468046836524449</v>
      </c>
      <c r="I220" s="209"/>
      <c r="J220" s="294"/>
      <c r="K220" s="295"/>
      <c r="L220" s="295"/>
    </row>
    <row r="221" spans="1:13" s="176" customFormat="1" x14ac:dyDescent="0.25">
      <c r="A221" s="188"/>
      <c r="B221" s="189" t="s">
        <v>340</v>
      </c>
      <c r="C221" s="185" t="s">
        <v>341</v>
      </c>
      <c r="D221" s="196">
        <f t="shared" si="93"/>
        <v>99495000</v>
      </c>
      <c r="E221" s="196">
        <f t="shared" si="93"/>
        <v>98178762</v>
      </c>
      <c r="F221" s="196">
        <f t="shared" si="93"/>
        <v>5973070</v>
      </c>
      <c r="G221" s="196">
        <f t="shared" si="93"/>
        <v>104151832</v>
      </c>
      <c r="H221" s="236">
        <f>G221/D221</f>
        <v>1.0468046836524449</v>
      </c>
      <c r="I221" s="209"/>
      <c r="J221" s="294"/>
      <c r="K221" s="295"/>
      <c r="L221" s="295"/>
    </row>
    <row r="222" spans="1:13" s="176" customFormat="1" x14ac:dyDescent="0.25">
      <c r="A222" s="188"/>
      <c r="B222" s="22"/>
      <c r="C222" s="185" t="s">
        <v>76</v>
      </c>
      <c r="D222" s="196">
        <f t="shared" si="93"/>
        <v>99495000</v>
      </c>
      <c r="E222" s="196">
        <f t="shared" si="93"/>
        <v>98178762</v>
      </c>
      <c r="F222" s="196">
        <f t="shared" si="93"/>
        <v>5973070</v>
      </c>
      <c r="G222" s="196">
        <f t="shared" si="93"/>
        <v>104151832</v>
      </c>
      <c r="H222" s="236">
        <f>G222/D222</f>
        <v>1.0468046836524449</v>
      </c>
      <c r="I222" s="209"/>
      <c r="J222" s="294"/>
      <c r="K222" s="295"/>
      <c r="L222" s="295"/>
    </row>
    <row r="223" spans="1:13" s="176" customFormat="1" x14ac:dyDescent="0.25">
      <c r="A223" s="188"/>
      <c r="B223" s="178"/>
      <c r="C223" s="183" t="s">
        <v>77</v>
      </c>
      <c r="D223" s="191">
        <f t="shared" si="93"/>
        <v>99495000</v>
      </c>
      <c r="E223" s="191">
        <f t="shared" si="93"/>
        <v>98178762</v>
      </c>
      <c r="F223" s="191">
        <f t="shared" si="93"/>
        <v>5973070</v>
      </c>
      <c r="G223" s="196">
        <f t="shared" si="93"/>
        <v>104151832</v>
      </c>
      <c r="H223" s="236">
        <f>G223/D223</f>
        <v>1.0468046836524449</v>
      </c>
      <c r="I223" s="207"/>
      <c r="J223" s="294"/>
      <c r="K223" s="295"/>
      <c r="L223" s="295"/>
    </row>
    <row r="224" spans="1:13" s="176" customFormat="1" x14ac:dyDescent="0.25">
      <c r="A224" s="182"/>
      <c r="B224" s="177" t="s">
        <v>79</v>
      </c>
      <c r="C224" s="183" t="s">
        <v>80</v>
      </c>
      <c r="D224" s="192">
        <v>99495000</v>
      </c>
      <c r="E224" s="192">
        <f>'Realisasi Okt'!G224</f>
        <v>98178762</v>
      </c>
      <c r="F224" s="192">
        <v>5973070</v>
      </c>
      <c r="G224" s="181">
        <f>E224+F224</f>
        <v>104151832</v>
      </c>
      <c r="H224" s="24">
        <f>G224/D224</f>
        <v>1.0468046836524449</v>
      </c>
      <c r="I224" s="207" t="s">
        <v>78</v>
      </c>
      <c r="J224" s="294"/>
      <c r="K224" s="295"/>
      <c r="L224" s="295"/>
    </row>
    <row r="225" spans="1:12" s="176" customFormat="1" x14ac:dyDescent="0.25">
      <c r="A225" s="182"/>
      <c r="B225" s="177"/>
      <c r="C225" s="183"/>
      <c r="D225" s="192"/>
      <c r="E225" s="192"/>
      <c r="F225" s="192"/>
      <c r="G225" s="191"/>
      <c r="H225" s="24"/>
      <c r="I225" s="207"/>
      <c r="J225" s="294"/>
      <c r="K225" s="295"/>
      <c r="L225" s="295"/>
    </row>
    <row r="226" spans="1:12" s="187" customFormat="1" x14ac:dyDescent="0.25">
      <c r="A226" s="165" t="s">
        <v>627</v>
      </c>
      <c r="B226" s="179" t="s">
        <v>446</v>
      </c>
      <c r="C226" s="180" t="s">
        <v>447</v>
      </c>
      <c r="D226" s="191">
        <f>D227</f>
        <v>0</v>
      </c>
      <c r="E226" s="191"/>
      <c r="F226" s="191">
        <f>F227</f>
        <v>0</v>
      </c>
      <c r="G226" s="191">
        <f>G227</f>
        <v>0</v>
      </c>
      <c r="H226" s="253" t="e">
        <f>G226/D226</f>
        <v>#DIV/0!</v>
      </c>
      <c r="I226" s="216"/>
      <c r="J226" s="186"/>
    </row>
    <row r="227" spans="1:12" s="187" customFormat="1" x14ac:dyDescent="0.25">
      <c r="A227" s="254"/>
      <c r="B227" s="179" t="s">
        <v>448</v>
      </c>
      <c r="C227" s="180" t="s">
        <v>449</v>
      </c>
      <c r="D227" s="191">
        <f>SUM(D228:D230)</f>
        <v>0</v>
      </c>
      <c r="E227" s="191"/>
      <c r="F227" s="191">
        <f>SUM(F228:F230)</f>
        <v>0</v>
      </c>
      <c r="G227" s="191">
        <f>SUM(G228:G230)</f>
        <v>0</v>
      </c>
      <c r="H227" s="253" t="e">
        <f>G227/D227</f>
        <v>#DIV/0!</v>
      </c>
      <c r="I227" s="216"/>
      <c r="J227" s="186"/>
    </row>
    <row r="228" spans="1:12" s="176" customFormat="1" x14ac:dyDescent="0.25">
      <c r="A228" s="182"/>
      <c r="B228" s="178"/>
      <c r="C228" s="193" t="s">
        <v>450</v>
      </c>
      <c r="D228" s="192">
        <v>0</v>
      </c>
      <c r="E228" s="192">
        <f>'Realisasi April'!G221</f>
        <v>0</v>
      </c>
      <c r="F228" s="192"/>
      <c r="G228" s="192">
        <f>E228+F228</f>
        <v>0</v>
      </c>
      <c r="H228" s="252" t="e">
        <f>G228/D228</f>
        <v>#DIV/0!</v>
      </c>
      <c r="I228" s="207"/>
      <c r="J228" s="175"/>
    </row>
    <row r="229" spans="1:12" s="176" customFormat="1" x14ac:dyDescent="0.25">
      <c r="A229" s="182"/>
      <c r="B229" s="178"/>
      <c r="C229" s="193" t="s">
        <v>451</v>
      </c>
      <c r="D229" s="192">
        <v>0</v>
      </c>
      <c r="E229" s="192">
        <f>'Realisasi April'!G222</f>
        <v>0</v>
      </c>
      <c r="F229" s="192"/>
      <c r="G229" s="192">
        <f>E229+F229</f>
        <v>0</v>
      </c>
      <c r="H229" s="252" t="e">
        <f>G229/D229</f>
        <v>#DIV/0!</v>
      </c>
      <c r="I229" s="207"/>
      <c r="J229" s="175"/>
    </row>
    <row r="230" spans="1:12" s="176" customFormat="1" x14ac:dyDescent="0.25">
      <c r="A230" s="182"/>
      <c r="B230" s="178"/>
      <c r="C230" s="193"/>
      <c r="D230" s="192"/>
      <c r="E230" s="192"/>
      <c r="F230" s="192"/>
      <c r="G230" s="192"/>
      <c r="H230" s="252"/>
      <c r="I230" s="207"/>
      <c r="J230" s="175"/>
    </row>
    <row r="231" spans="1:12" s="176" customFormat="1" x14ac:dyDescent="0.25">
      <c r="A231" s="182"/>
      <c r="B231" s="36"/>
      <c r="C231" s="37"/>
      <c r="D231" s="192"/>
      <c r="E231" s="192"/>
      <c r="F231" s="192"/>
      <c r="G231" s="191"/>
      <c r="H231" s="236"/>
      <c r="I231" s="222"/>
      <c r="J231" s="175"/>
    </row>
    <row r="232" spans="1:12" s="176" customFormat="1" ht="24.75" customHeight="1" x14ac:dyDescent="0.25">
      <c r="A232" s="126" t="s">
        <v>163</v>
      </c>
      <c r="B232" s="128" t="s">
        <v>164</v>
      </c>
      <c r="C232" s="41" t="s">
        <v>268</v>
      </c>
      <c r="D232" s="42">
        <f>SUM(D233+D417)</f>
        <v>939777284241.33008</v>
      </c>
      <c r="E232" s="42">
        <f>SUM(E233+E417)</f>
        <v>723870163290</v>
      </c>
      <c r="F232" s="42">
        <f>SUM(F233+F417)</f>
        <v>64879405171</v>
      </c>
      <c r="G232" s="42">
        <f>SUM(G233+G417)</f>
        <v>788749568461</v>
      </c>
      <c r="H232" s="237">
        <f t="shared" ref="H232:H237" si="94">G232/D232</f>
        <v>0.83929414094930721</v>
      </c>
      <c r="I232" s="223"/>
      <c r="J232" s="175"/>
      <c r="K232" s="270"/>
    </row>
    <row r="233" spans="1:12" s="176" customFormat="1" x14ac:dyDescent="0.25">
      <c r="A233" s="134" t="s">
        <v>416</v>
      </c>
      <c r="B233" s="135" t="s">
        <v>350</v>
      </c>
      <c r="C233" s="136" t="s">
        <v>351</v>
      </c>
      <c r="D233" s="137">
        <f>SUM(D234+D410)</f>
        <v>794763838753</v>
      </c>
      <c r="E233" s="137">
        <f>SUM(E234+E410)</f>
        <v>620159044260</v>
      </c>
      <c r="F233" s="137">
        <f>SUM(F234+F410)</f>
        <v>49811612750</v>
      </c>
      <c r="G233" s="137">
        <f>SUM(G234+G410)</f>
        <v>669970657010</v>
      </c>
      <c r="H233" s="238">
        <f t="shared" si="94"/>
        <v>0.84298080051200752</v>
      </c>
      <c r="I233" s="223"/>
      <c r="J233" s="175"/>
    </row>
    <row r="234" spans="1:12" s="176" customFormat="1" x14ac:dyDescent="0.25">
      <c r="A234" s="123" t="s">
        <v>89</v>
      </c>
      <c r="B234" s="133" t="s">
        <v>352</v>
      </c>
      <c r="C234" s="124" t="s">
        <v>165</v>
      </c>
      <c r="D234" s="125">
        <f>SUM(D235+D293+D295+D365)</f>
        <v>774402942753</v>
      </c>
      <c r="E234" s="125">
        <f>SUM(E235+E293+E295+E365)</f>
        <v>611295720260</v>
      </c>
      <c r="F234" s="125">
        <f>SUM(F235+F293+F295+F365)</f>
        <v>49811612750</v>
      </c>
      <c r="G234" s="125">
        <f>SUM(G235+G293+G295+G365)</f>
        <v>661107333010</v>
      </c>
      <c r="H234" s="239">
        <f t="shared" si="94"/>
        <v>0.85369940700349811</v>
      </c>
      <c r="I234" s="223"/>
      <c r="J234" s="175"/>
      <c r="K234" s="270"/>
    </row>
    <row r="235" spans="1:12" s="176" customFormat="1" x14ac:dyDescent="0.25">
      <c r="A235" s="138" t="s">
        <v>166</v>
      </c>
      <c r="B235" s="139" t="s">
        <v>353</v>
      </c>
      <c r="C235" s="140" t="s">
        <v>354</v>
      </c>
      <c r="D235" s="141">
        <f>SUM(D236+D260+D264+D268+D272+D276+D280+D285+D288+D258)</f>
        <v>162373681000</v>
      </c>
      <c r="E235" s="141">
        <f>E236+E260+E264+E268+E272+E276+E280+E288+E258</f>
        <v>125183583976</v>
      </c>
      <c r="F235" s="141">
        <f>F236+F260+F264+F268+F272+F276+F280+F288+F258</f>
        <v>4301586350</v>
      </c>
      <c r="G235" s="141">
        <f>G236+G260+G264+G268+G272+G276+G280+G288+G258</f>
        <v>129485170326</v>
      </c>
      <c r="H235" s="240">
        <f t="shared" si="94"/>
        <v>0.79745171464087217</v>
      </c>
      <c r="I235" s="224"/>
      <c r="J235" s="175"/>
      <c r="K235" s="270"/>
    </row>
    <row r="236" spans="1:12" s="187" customFormat="1" x14ac:dyDescent="0.25">
      <c r="A236" s="184" t="s">
        <v>406</v>
      </c>
      <c r="B236" s="189" t="s">
        <v>355</v>
      </c>
      <c r="C236" s="185" t="s">
        <v>356</v>
      </c>
      <c r="D236" s="196">
        <f>D237+D247</f>
        <v>26807415000</v>
      </c>
      <c r="E236" s="196">
        <f>E237+E247</f>
        <v>26541029026</v>
      </c>
      <c r="F236" s="196">
        <f>F237+F247</f>
        <v>1354902800</v>
      </c>
      <c r="G236" s="196">
        <f>G237+G247</f>
        <v>27895931826</v>
      </c>
      <c r="H236" s="236">
        <f t="shared" si="94"/>
        <v>1.0406050649046168</v>
      </c>
      <c r="I236" s="225" t="s">
        <v>167</v>
      </c>
      <c r="J236" s="186"/>
    </row>
    <row r="237" spans="1:12" s="187" customFormat="1" x14ac:dyDescent="0.25">
      <c r="A237" s="184"/>
      <c r="B237" s="189"/>
      <c r="C237" s="185" t="s">
        <v>633</v>
      </c>
      <c r="D237" s="196">
        <f>SUM(D238:D246)</f>
        <v>26807415000</v>
      </c>
      <c r="E237" s="196">
        <f>SUM(E238:E246)</f>
        <v>25057529350</v>
      </c>
      <c r="F237" s="196">
        <f>SUM(F238:F246)</f>
        <v>1354902800</v>
      </c>
      <c r="G237" s="196">
        <f>SUM(G238:G246)</f>
        <v>26412432150</v>
      </c>
      <c r="H237" s="236">
        <f t="shared" si="94"/>
        <v>0.98526591056989266</v>
      </c>
      <c r="I237" s="225"/>
      <c r="J237" s="186"/>
    </row>
    <row r="238" spans="1:12" s="187" customFormat="1" x14ac:dyDescent="0.25">
      <c r="A238" s="184"/>
      <c r="B238" s="190"/>
      <c r="C238" s="193" t="s">
        <v>453</v>
      </c>
      <c r="D238" s="181">
        <v>3820583000</v>
      </c>
      <c r="E238" s="181">
        <f>'Realisasi Okt'!G238</f>
        <v>2992324000</v>
      </c>
      <c r="F238" s="181">
        <v>828259000</v>
      </c>
      <c r="G238" s="192">
        <f>E238+F238</f>
        <v>3820583000</v>
      </c>
      <c r="H238" s="24"/>
      <c r="I238" s="225"/>
      <c r="J238" s="186"/>
    </row>
    <row r="239" spans="1:12" s="187" customFormat="1" x14ac:dyDescent="0.25">
      <c r="A239" s="184"/>
      <c r="B239" s="190"/>
      <c r="C239" s="193" t="s">
        <v>454</v>
      </c>
      <c r="D239" s="181">
        <v>16610000</v>
      </c>
      <c r="E239" s="181">
        <f>'Realisasi Okt'!G239</f>
        <v>10796500</v>
      </c>
      <c r="F239" s="181">
        <f>830500+830500+830500+830500</f>
        <v>3322000</v>
      </c>
      <c r="G239" s="192">
        <f t="shared" ref="G239:G246" si="95">E239+F239</f>
        <v>14118500</v>
      </c>
      <c r="H239" s="24"/>
      <c r="I239" s="225"/>
      <c r="J239" s="186"/>
    </row>
    <row r="240" spans="1:12" s="187" customFormat="1" x14ac:dyDescent="0.25">
      <c r="A240" s="184"/>
      <c r="B240" s="190"/>
      <c r="C240" s="193" t="s">
        <v>455</v>
      </c>
      <c r="D240" s="181">
        <v>2418594000</v>
      </c>
      <c r="E240" s="181">
        <f>'Realisasi Okt'!G240</f>
        <v>1572086100</v>
      </c>
      <c r="F240" s="181">
        <f>120929700+120929700+120929700+120929700</f>
        <v>483718800</v>
      </c>
      <c r="G240" s="192">
        <f t="shared" si="95"/>
        <v>2055804900</v>
      </c>
      <c r="H240" s="24"/>
      <c r="I240" s="225"/>
      <c r="J240" s="186"/>
    </row>
    <row r="241" spans="1:13" s="187" customFormat="1" x14ac:dyDescent="0.25">
      <c r="A241" s="184"/>
      <c r="B241" s="190"/>
      <c r="C241" s="193" t="s">
        <v>456</v>
      </c>
      <c r="D241" s="181">
        <v>19697014000</v>
      </c>
      <c r="E241" s="181">
        <f>'Realisasi Okt'!G241</f>
        <v>19697014000</v>
      </c>
      <c r="F241" s="181"/>
      <c r="G241" s="192">
        <f t="shared" si="95"/>
        <v>19697014000</v>
      </c>
      <c r="H241" s="24"/>
      <c r="I241" s="225"/>
      <c r="J241" s="186"/>
    </row>
    <row r="242" spans="1:13" s="187" customFormat="1" x14ac:dyDescent="0.25">
      <c r="A242" s="184"/>
      <c r="B242" s="190"/>
      <c r="C242" s="193" t="s">
        <v>457</v>
      </c>
      <c r="D242" s="181">
        <v>99893000</v>
      </c>
      <c r="E242" s="181">
        <f>'Realisasi Okt'!G242</f>
        <v>64930450</v>
      </c>
      <c r="F242" s="181">
        <f>4994650+4994650+4994650+4994650</f>
        <v>19978600</v>
      </c>
      <c r="G242" s="192">
        <f t="shared" si="95"/>
        <v>84909050</v>
      </c>
      <c r="H242" s="24"/>
      <c r="I242" s="225"/>
      <c r="J242" s="186"/>
    </row>
    <row r="243" spans="1:13" s="187" customFormat="1" x14ac:dyDescent="0.25">
      <c r="A243" s="184"/>
      <c r="B243" s="190"/>
      <c r="C243" s="193" t="s">
        <v>458</v>
      </c>
      <c r="D243" s="181">
        <v>738000</v>
      </c>
      <c r="E243" s="181">
        <f>'Realisasi Okt'!G243</f>
        <v>479700</v>
      </c>
      <c r="F243" s="181">
        <f>36900+36900+36900+36900</f>
        <v>147600</v>
      </c>
      <c r="G243" s="192">
        <f t="shared" si="95"/>
        <v>627300</v>
      </c>
      <c r="H243" s="24"/>
      <c r="I243" s="225"/>
      <c r="J243" s="186"/>
    </row>
    <row r="244" spans="1:13" s="187" customFormat="1" x14ac:dyDescent="0.25">
      <c r="A244" s="184"/>
      <c r="B244" s="190"/>
      <c r="C244" s="193" t="s">
        <v>459</v>
      </c>
      <c r="D244" s="181">
        <v>94054000</v>
      </c>
      <c r="E244" s="181">
        <f>'Realisasi Okt'!G244</f>
        <v>61135100</v>
      </c>
      <c r="F244" s="181">
        <f>4702700+4702700+4702700+4702700</f>
        <v>18810800</v>
      </c>
      <c r="G244" s="192">
        <f t="shared" si="95"/>
        <v>79945900</v>
      </c>
      <c r="H244" s="24"/>
      <c r="I244" s="225"/>
      <c r="J244" s="186"/>
    </row>
    <row r="245" spans="1:13" s="187" customFormat="1" x14ac:dyDescent="0.25">
      <c r="A245" s="184"/>
      <c r="B245" s="190"/>
      <c r="C245" s="193" t="s">
        <v>460</v>
      </c>
      <c r="D245" s="181">
        <v>656599000</v>
      </c>
      <c r="E245" s="181">
        <f>'Realisasi Okt'!G245</f>
        <v>656599000</v>
      </c>
      <c r="F245" s="181"/>
      <c r="G245" s="192">
        <f t="shared" si="95"/>
        <v>656599000</v>
      </c>
      <c r="H245" s="24"/>
      <c r="I245" s="225"/>
      <c r="J245" s="186"/>
      <c r="M245" s="187" t="s">
        <v>671</v>
      </c>
    </row>
    <row r="246" spans="1:13" s="187" customFormat="1" x14ac:dyDescent="0.25">
      <c r="A246" s="184"/>
      <c r="B246" s="190"/>
      <c r="C246" s="193" t="s">
        <v>461</v>
      </c>
      <c r="D246" s="181">
        <v>3330000</v>
      </c>
      <c r="E246" s="181">
        <f>'Realisasi Okt'!G246</f>
        <v>2164500</v>
      </c>
      <c r="F246" s="181">
        <f>166500+166500+166500+166500</f>
        <v>666000</v>
      </c>
      <c r="G246" s="192">
        <f t="shared" si="95"/>
        <v>2830500</v>
      </c>
      <c r="H246" s="24"/>
      <c r="I246" s="225"/>
      <c r="J246" s="186"/>
    </row>
    <row r="247" spans="1:13" s="187" customFormat="1" x14ac:dyDescent="0.25">
      <c r="A247" s="184"/>
      <c r="B247" s="190"/>
      <c r="C247" s="35" t="s">
        <v>519</v>
      </c>
      <c r="D247" s="196">
        <f>SUM(D248:D256)</f>
        <v>0</v>
      </c>
      <c r="E247" s="196">
        <f>SUM(E248:E256)</f>
        <v>1483499676</v>
      </c>
      <c r="F247" s="196">
        <f t="shared" ref="F247:G247" si="96">SUM(F248:F256)</f>
        <v>0</v>
      </c>
      <c r="G247" s="196">
        <f t="shared" si="96"/>
        <v>1483499676</v>
      </c>
      <c r="H247" s="253" t="e">
        <f t="shared" ref="H247:H256" si="97">G247/D247</f>
        <v>#DIV/0!</v>
      </c>
      <c r="I247" s="225"/>
      <c r="J247" s="186"/>
    </row>
    <row r="248" spans="1:13" s="187" customFormat="1" x14ac:dyDescent="0.25">
      <c r="A248" s="184"/>
      <c r="B248" s="190"/>
      <c r="C248" s="193" t="s">
        <v>707</v>
      </c>
      <c r="D248" s="181"/>
      <c r="E248" s="181">
        <f>'Realisasi Okt'!G248</f>
        <v>803667166</v>
      </c>
      <c r="F248" s="196"/>
      <c r="G248" s="181">
        <f>E248+F248</f>
        <v>803667166</v>
      </c>
      <c r="H248" s="252" t="e">
        <f t="shared" si="97"/>
        <v>#DIV/0!</v>
      </c>
      <c r="I248" s="225"/>
      <c r="J248" s="186"/>
    </row>
    <row r="249" spans="1:13" s="187" customFormat="1" x14ac:dyDescent="0.25">
      <c r="A249" s="184"/>
      <c r="B249" s="190"/>
      <c r="C249" s="193" t="s">
        <v>708</v>
      </c>
      <c r="D249" s="181"/>
      <c r="E249" s="181">
        <f>'Realisasi Okt'!G249</f>
        <v>6955302</v>
      </c>
      <c r="F249" s="181"/>
      <c r="G249" s="181">
        <f t="shared" ref="G249:G256" si="98">E249+F249</f>
        <v>6955302</v>
      </c>
      <c r="H249" s="252" t="e">
        <f t="shared" si="97"/>
        <v>#DIV/0!</v>
      </c>
      <c r="I249" s="225"/>
      <c r="J249" s="186"/>
    </row>
    <row r="250" spans="1:13" s="187" customFormat="1" x14ac:dyDescent="0.25">
      <c r="A250" s="184"/>
      <c r="B250" s="190"/>
      <c r="C250" s="193" t="s">
        <v>710</v>
      </c>
      <c r="D250" s="181"/>
      <c r="E250" s="181">
        <f>'Realisasi Okt'!G250</f>
        <v>586910454</v>
      </c>
      <c r="F250" s="181"/>
      <c r="G250" s="181">
        <f t="shared" si="98"/>
        <v>586910454</v>
      </c>
      <c r="H250" s="252" t="e">
        <f t="shared" si="97"/>
        <v>#DIV/0!</v>
      </c>
      <c r="I250" s="225"/>
      <c r="J250" s="186"/>
    </row>
    <row r="251" spans="1:13" s="187" customFormat="1" x14ac:dyDescent="0.25">
      <c r="A251" s="184"/>
      <c r="B251" s="190"/>
      <c r="C251" s="193" t="s">
        <v>709</v>
      </c>
      <c r="D251" s="181"/>
      <c r="E251" s="181">
        <f>'Realisasi Okt'!G251</f>
        <v>60807157</v>
      </c>
      <c r="F251" s="181"/>
      <c r="G251" s="181">
        <f t="shared" si="98"/>
        <v>60807157</v>
      </c>
      <c r="H251" s="252" t="e">
        <f t="shared" si="97"/>
        <v>#DIV/0!</v>
      </c>
      <c r="I251" s="225"/>
      <c r="J251" s="186"/>
    </row>
    <row r="252" spans="1:13" s="187" customFormat="1" x14ac:dyDescent="0.25">
      <c r="A252" s="184"/>
      <c r="B252" s="190"/>
      <c r="C252" s="193" t="s">
        <v>711</v>
      </c>
      <c r="D252" s="181"/>
      <c r="E252" s="181">
        <f>'Realisasi Okt'!G252</f>
        <v>309013</v>
      </c>
      <c r="F252" s="181"/>
      <c r="G252" s="181">
        <f t="shared" si="98"/>
        <v>309013</v>
      </c>
      <c r="H252" s="252" t="e">
        <f t="shared" si="97"/>
        <v>#DIV/0!</v>
      </c>
      <c r="I252" s="225"/>
      <c r="J252" s="186"/>
    </row>
    <row r="253" spans="1:13" s="187" customFormat="1" x14ac:dyDescent="0.25">
      <c r="A253" s="184"/>
      <c r="B253" s="190"/>
      <c r="C253" s="193" t="s">
        <v>712</v>
      </c>
      <c r="D253" s="181"/>
      <c r="E253" s="181">
        <f>'Realisasi Okt'!G253</f>
        <v>22824512</v>
      </c>
      <c r="F253" s="181"/>
      <c r="G253" s="181">
        <f t="shared" si="98"/>
        <v>22824512</v>
      </c>
      <c r="H253" s="252" t="e">
        <f t="shared" si="97"/>
        <v>#DIV/0!</v>
      </c>
      <c r="I253" s="225"/>
      <c r="J253" s="186"/>
    </row>
    <row r="254" spans="1:13" s="187" customFormat="1" x14ac:dyDescent="0.25">
      <c r="A254" s="184"/>
      <c r="B254" s="190"/>
      <c r="C254" s="193" t="s">
        <v>713</v>
      </c>
      <c r="D254" s="181"/>
      <c r="E254" s="181">
        <f>'Realisasi Okt'!G254</f>
        <v>2026072</v>
      </c>
      <c r="F254" s="181"/>
      <c r="G254" s="181">
        <f t="shared" si="98"/>
        <v>2026072</v>
      </c>
      <c r="H254" s="252" t="e">
        <f t="shared" si="97"/>
        <v>#DIV/0!</v>
      </c>
      <c r="I254" s="225"/>
      <c r="J254" s="186"/>
    </row>
    <row r="255" spans="1:13" s="187" customFormat="1" x14ac:dyDescent="0.25">
      <c r="A255" s="184"/>
      <c r="B255" s="190"/>
      <c r="C255" s="193" t="s">
        <v>714</v>
      </c>
      <c r="D255" s="181"/>
      <c r="E255" s="181">
        <f>'Realisasi Okt'!G255</f>
        <v>0</v>
      </c>
      <c r="F255" s="181"/>
      <c r="G255" s="181">
        <f t="shared" si="98"/>
        <v>0</v>
      </c>
      <c r="H255" s="252" t="e">
        <f t="shared" si="97"/>
        <v>#DIV/0!</v>
      </c>
      <c r="I255" s="225"/>
      <c r="J255" s="186"/>
    </row>
    <row r="256" spans="1:13" s="187" customFormat="1" x14ac:dyDescent="0.25">
      <c r="A256" s="184"/>
      <c r="B256" s="190"/>
      <c r="C256" s="193" t="s">
        <v>715</v>
      </c>
      <c r="D256" s="181"/>
      <c r="E256" s="181">
        <f>'Realisasi Okt'!G256</f>
        <v>0</v>
      </c>
      <c r="F256" s="181"/>
      <c r="G256" s="181">
        <f t="shared" si="98"/>
        <v>0</v>
      </c>
      <c r="H256" s="252" t="e">
        <f t="shared" si="97"/>
        <v>#DIV/0!</v>
      </c>
      <c r="I256" s="225"/>
      <c r="J256" s="186"/>
    </row>
    <row r="257" spans="1:10" s="187" customFormat="1" x14ac:dyDescent="0.25">
      <c r="A257" s="184"/>
      <c r="B257" s="190"/>
      <c r="C257" s="193"/>
      <c r="D257" s="181"/>
      <c r="E257" s="181"/>
      <c r="F257" s="181"/>
      <c r="G257" s="192"/>
      <c r="H257" s="24"/>
      <c r="I257" s="225"/>
      <c r="J257" s="186"/>
    </row>
    <row r="258" spans="1:10" s="187" customFormat="1" x14ac:dyDescent="0.25">
      <c r="A258" s="184"/>
      <c r="B258" s="190"/>
      <c r="C258" s="35" t="s">
        <v>688</v>
      </c>
      <c r="D258" s="196">
        <v>261000</v>
      </c>
      <c r="E258" s="196">
        <f>'Realisasi Okt'!G258</f>
        <v>42840</v>
      </c>
      <c r="F258" s="196"/>
      <c r="G258" s="191">
        <f>E258+F258</f>
        <v>42840</v>
      </c>
      <c r="H258" s="236"/>
      <c r="I258" s="225"/>
      <c r="J258" s="186"/>
    </row>
    <row r="259" spans="1:10" s="187" customFormat="1" x14ac:dyDescent="0.25">
      <c r="A259" s="184"/>
      <c r="B259" s="190"/>
      <c r="C259" s="183"/>
      <c r="D259" s="181"/>
      <c r="E259" s="196"/>
      <c r="F259" s="181"/>
      <c r="G259" s="192"/>
      <c r="H259" s="24"/>
      <c r="I259" s="225"/>
      <c r="J259" s="186"/>
    </row>
    <row r="260" spans="1:10" s="187" customFormat="1" x14ac:dyDescent="0.25">
      <c r="A260" s="184" t="s">
        <v>407</v>
      </c>
      <c r="B260" s="189" t="s">
        <v>357</v>
      </c>
      <c r="C260" s="185" t="s">
        <v>358</v>
      </c>
      <c r="D260" s="191">
        <v>26523015000</v>
      </c>
      <c r="E260" s="196">
        <f>SUM(E261:E262)</f>
        <v>26523015000</v>
      </c>
      <c r="F260" s="196">
        <f t="shared" ref="F260:G260" si="99">SUM(F261:F262)</f>
        <v>0</v>
      </c>
      <c r="G260" s="196">
        <f t="shared" si="99"/>
        <v>26523015000</v>
      </c>
      <c r="H260" s="236">
        <f>G260/D260</f>
        <v>1</v>
      </c>
      <c r="I260" s="225" t="s">
        <v>167</v>
      </c>
      <c r="J260" s="186"/>
    </row>
    <row r="261" spans="1:10" s="187" customFormat="1" x14ac:dyDescent="0.25">
      <c r="A261" s="184"/>
      <c r="B261" s="190"/>
      <c r="C261" s="193" t="s">
        <v>650</v>
      </c>
      <c r="D261" s="192"/>
      <c r="E261" s="181">
        <f>'Realisasi Okt'!G261</f>
        <v>26523015000</v>
      </c>
      <c r="F261" s="192"/>
      <c r="G261" s="192">
        <f>E261+F261</f>
        <v>26523015000</v>
      </c>
      <c r="H261" s="252" t="e">
        <f>G261/D261</f>
        <v>#DIV/0!</v>
      </c>
      <c r="I261" s="225"/>
      <c r="J261" s="186"/>
    </row>
    <row r="262" spans="1:10" s="187" customFormat="1" x14ac:dyDescent="0.25">
      <c r="A262" s="184"/>
      <c r="B262" s="190"/>
      <c r="C262" s="193" t="s">
        <v>651</v>
      </c>
      <c r="D262" s="192"/>
      <c r="E262" s="181">
        <f>'Realisasi Okt'!G262</f>
        <v>0</v>
      </c>
      <c r="F262" s="192"/>
      <c r="G262" s="192">
        <f t="shared" ref="G262" si="100">E262+F262</f>
        <v>0</v>
      </c>
      <c r="H262" s="252" t="e">
        <f>G262/D262</f>
        <v>#DIV/0!</v>
      </c>
      <c r="I262" s="225"/>
      <c r="J262" s="186"/>
    </row>
    <row r="263" spans="1:10" s="187" customFormat="1" x14ac:dyDescent="0.25">
      <c r="A263" s="184"/>
      <c r="B263" s="190"/>
      <c r="C263" s="183"/>
      <c r="D263" s="192"/>
      <c r="E263" s="181"/>
      <c r="F263" s="192"/>
      <c r="G263" s="192"/>
      <c r="H263" s="24"/>
      <c r="I263" s="225"/>
      <c r="J263" s="186"/>
    </row>
    <row r="264" spans="1:10" s="187" customFormat="1" x14ac:dyDescent="0.25">
      <c r="A264" s="184" t="s">
        <v>408</v>
      </c>
      <c r="B264" s="189" t="s">
        <v>359</v>
      </c>
      <c r="C264" s="185" t="s">
        <v>360</v>
      </c>
      <c r="D264" s="191">
        <v>1150983000</v>
      </c>
      <c r="E264" s="196">
        <f>E265+E266</f>
        <v>2265106496</v>
      </c>
      <c r="F264" s="196">
        <f t="shared" ref="F264:G264" si="101">F265+F266</f>
        <v>0</v>
      </c>
      <c r="G264" s="196">
        <f t="shared" si="101"/>
        <v>2265106496</v>
      </c>
      <c r="H264" s="236">
        <f>G264/D264</f>
        <v>1.9679756312647536</v>
      </c>
      <c r="I264" s="225" t="s">
        <v>167</v>
      </c>
      <c r="J264" s="186"/>
    </row>
    <row r="265" spans="1:10" s="187" customFormat="1" x14ac:dyDescent="0.25">
      <c r="A265" s="184"/>
      <c r="B265" s="190"/>
      <c r="C265" s="193" t="s">
        <v>652</v>
      </c>
      <c r="D265" s="192"/>
      <c r="E265" s="181">
        <f>'Realisasi Okt'!G265</f>
        <v>1150983000</v>
      </c>
      <c r="F265" s="192"/>
      <c r="G265" s="192">
        <f>E265+F265</f>
        <v>1150983000</v>
      </c>
      <c r="H265" s="252" t="e">
        <f>G265/D265</f>
        <v>#DIV/0!</v>
      </c>
      <c r="I265" s="225"/>
      <c r="J265" s="186"/>
    </row>
    <row r="266" spans="1:10" s="187" customFormat="1" x14ac:dyDescent="0.25">
      <c r="A266" s="184"/>
      <c r="B266" s="190"/>
      <c r="C266" s="193" t="s">
        <v>653</v>
      </c>
      <c r="D266" s="192"/>
      <c r="E266" s="181">
        <f>'Realisasi Okt'!G266</f>
        <v>1114123496</v>
      </c>
      <c r="F266" s="192"/>
      <c r="G266" s="192">
        <f t="shared" ref="G266" si="102">E266+F266</f>
        <v>1114123496</v>
      </c>
      <c r="H266" s="252" t="e">
        <f>G266/D266</f>
        <v>#DIV/0!</v>
      </c>
      <c r="I266" s="225"/>
      <c r="J266" s="186"/>
    </row>
    <row r="267" spans="1:10" s="187" customFormat="1" x14ac:dyDescent="0.25">
      <c r="A267" s="184"/>
      <c r="B267" s="190"/>
      <c r="C267" s="183"/>
      <c r="D267" s="192"/>
      <c r="E267" s="181"/>
      <c r="F267" s="192"/>
      <c r="G267" s="192"/>
      <c r="H267" s="24"/>
      <c r="I267" s="225"/>
      <c r="J267" s="186"/>
    </row>
    <row r="268" spans="1:10" s="187" customFormat="1" x14ac:dyDescent="0.25">
      <c r="A268" s="184" t="s">
        <v>409</v>
      </c>
      <c r="B268" s="189" t="s">
        <v>405</v>
      </c>
      <c r="C268" s="185" t="s">
        <v>361</v>
      </c>
      <c r="D268" s="191">
        <v>90637250000</v>
      </c>
      <c r="E268" s="196">
        <f>SUM(E269:E270)</f>
        <v>61585482114</v>
      </c>
      <c r="F268" s="196">
        <f t="shared" ref="F268:G268" si="103">SUM(F269:F270)</f>
        <v>0</v>
      </c>
      <c r="G268" s="196">
        <f t="shared" si="103"/>
        <v>61585482114</v>
      </c>
      <c r="H268" s="236">
        <f>G268/D268</f>
        <v>0.67947209468513226</v>
      </c>
      <c r="I268" s="225" t="s">
        <v>167</v>
      </c>
      <c r="J268" s="186"/>
    </row>
    <row r="269" spans="1:10" s="187" customFormat="1" x14ac:dyDescent="0.25">
      <c r="A269" s="184"/>
      <c r="B269" s="190"/>
      <c r="C269" s="193" t="s">
        <v>654</v>
      </c>
      <c r="D269" s="192"/>
      <c r="E269" s="181">
        <f>'Realisasi Okt'!G269</f>
        <v>58914212500</v>
      </c>
      <c r="F269" s="192"/>
      <c r="G269" s="192">
        <f>E269+F269</f>
        <v>58914212500</v>
      </c>
      <c r="H269" s="252" t="e">
        <f>G269/D269</f>
        <v>#DIV/0!</v>
      </c>
      <c r="I269" s="225"/>
      <c r="J269" s="186"/>
    </row>
    <row r="270" spans="1:10" s="187" customFormat="1" x14ac:dyDescent="0.25">
      <c r="A270" s="184"/>
      <c r="B270" s="190"/>
      <c r="C270" s="193" t="s">
        <v>655</v>
      </c>
      <c r="D270" s="192"/>
      <c r="E270" s="181">
        <f>'Realisasi Okt'!G270</f>
        <v>2671269614</v>
      </c>
      <c r="F270" s="192"/>
      <c r="G270" s="192">
        <f t="shared" ref="G270" si="104">E270+F270</f>
        <v>2671269614</v>
      </c>
      <c r="H270" s="252" t="e">
        <f>G270/D270</f>
        <v>#DIV/0!</v>
      </c>
      <c r="I270" s="225"/>
      <c r="J270" s="186"/>
    </row>
    <row r="271" spans="1:10" s="187" customFormat="1" x14ac:dyDescent="0.25">
      <c r="A271" s="184"/>
      <c r="B271" s="190"/>
      <c r="C271" s="193"/>
      <c r="D271" s="192"/>
      <c r="E271" s="181"/>
      <c r="F271" s="192"/>
      <c r="G271" s="192"/>
      <c r="H271" s="24"/>
      <c r="I271" s="225"/>
      <c r="J271" s="186"/>
    </row>
    <row r="272" spans="1:10" s="187" customFormat="1" x14ac:dyDescent="0.25">
      <c r="A272" s="188" t="s">
        <v>410</v>
      </c>
      <c r="B272" s="189" t="s">
        <v>462</v>
      </c>
      <c r="C272" s="185" t="s">
        <v>463</v>
      </c>
      <c r="D272" s="191">
        <v>3994893000</v>
      </c>
      <c r="E272" s="196">
        <f>E273</f>
        <v>2596680450</v>
      </c>
      <c r="F272" s="196">
        <f t="shared" ref="F272:G272" si="105">F273</f>
        <v>0</v>
      </c>
      <c r="G272" s="196">
        <f t="shared" si="105"/>
        <v>2596680450</v>
      </c>
      <c r="H272" s="236">
        <f>G272/D272</f>
        <v>0.65</v>
      </c>
      <c r="I272" s="225"/>
      <c r="J272" s="186"/>
    </row>
    <row r="273" spans="1:10" s="187" customFormat="1" x14ac:dyDescent="0.25">
      <c r="A273" s="188"/>
      <c r="B273" s="190"/>
      <c r="C273" s="193" t="s">
        <v>656</v>
      </c>
      <c r="D273" s="192"/>
      <c r="E273" s="181">
        <f>'Realisasi Okt'!G273</f>
        <v>2596680450</v>
      </c>
      <c r="F273" s="192"/>
      <c r="G273" s="192">
        <f>E273+F273</f>
        <v>2596680450</v>
      </c>
      <c r="H273" s="252" t="e">
        <f>G273/D273</f>
        <v>#DIV/0!</v>
      </c>
      <c r="I273" s="225"/>
      <c r="J273" s="186"/>
    </row>
    <row r="274" spans="1:10" s="187" customFormat="1" x14ac:dyDescent="0.25">
      <c r="A274" s="188"/>
      <c r="B274" s="190"/>
      <c r="C274" s="193" t="s">
        <v>657</v>
      </c>
      <c r="D274" s="192"/>
      <c r="E274" s="181">
        <f>'Realisasi Okt'!G274</f>
        <v>0</v>
      </c>
      <c r="F274" s="192"/>
      <c r="G274" s="192">
        <f>E274+F274</f>
        <v>0</v>
      </c>
      <c r="H274" s="252" t="e">
        <f>G274/D274</f>
        <v>#DIV/0!</v>
      </c>
      <c r="I274" s="225"/>
      <c r="J274" s="186"/>
    </row>
    <row r="275" spans="1:10" s="187" customFormat="1" x14ac:dyDescent="0.25">
      <c r="A275" s="188"/>
      <c r="B275" s="190"/>
      <c r="C275" s="193"/>
      <c r="D275" s="192"/>
      <c r="E275" s="181"/>
      <c r="F275" s="192"/>
      <c r="G275" s="192"/>
      <c r="H275" s="24"/>
      <c r="I275" s="225"/>
      <c r="J275" s="186"/>
    </row>
    <row r="276" spans="1:10" s="187" customFormat="1" x14ac:dyDescent="0.25">
      <c r="A276" s="188" t="s">
        <v>411</v>
      </c>
      <c r="B276" s="189" t="s">
        <v>362</v>
      </c>
      <c r="C276" s="185" t="s">
        <v>363</v>
      </c>
      <c r="D276" s="191">
        <v>2892430000</v>
      </c>
      <c r="E276" s="196">
        <f>SUM(E277:E278)</f>
        <v>1880079500</v>
      </c>
      <c r="F276" s="196">
        <f t="shared" ref="F276:G276" si="106">F277</f>
        <v>0</v>
      </c>
      <c r="G276" s="196">
        <f t="shared" si="106"/>
        <v>1880079500</v>
      </c>
      <c r="H276" s="236">
        <f>G276/D276</f>
        <v>0.65</v>
      </c>
      <c r="I276" s="225" t="s">
        <v>167</v>
      </c>
      <c r="J276" s="186"/>
    </row>
    <row r="277" spans="1:10" s="187" customFormat="1" x14ac:dyDescent="0.25">
      <c r="A277" s="188"/>
      <c r="B277" s="190"/>
      <c r="C277" s="193" t="s">
        <v>658</v>
      </c>
      <c r="D277" s="192"/>
      <c r="E277" s="181">
        <f>'Realisasi Okt'!G277</f>
        <v>1880079500</v>
      </c>
      <c r="F277" s="192"/>
      <c r="G277" s="192">
        <f>E277+F277</f>
        <v>1880079500</v>
      </c>
      <c r="H277" s="252" t="e">
        <f>G277/D277</f>
        <v>#DIV/0!</v>
      </c>
      <c r="I277" s="225"/>
      <c r="J277" s="186"/>
    </row>
    <row r="278" spans="1:10" s="187" customFormat="1" x14ac:dyDescent="0.25">
      <c r="A278" s="188"/>
      <c r="B278" s="190"/>
      <c r="C278" s="193" t="s">
        <v>659</v>
      </c>
      <c r="D278" s="192"/>
      <c r="E278" s="181">
        <f>'Realisasi Okt'!G278</f>
        <v>0</v>
      </c>
      <c r="F278" s="192"/>
      <c r="G278" s="192">
        <f>E278+F278</f>
        <v>0</v>
      </c>
      <c r="H278" s="252" t="e">
        <f>G278/D278</f>
        <v>#DIV/0!</v>
      </c>
      <c r="I278" s="225"/>
      <c r="J278" s="186"/>
    </row>
    <row r="279" spans="1:10" s="187" customFormat="1" x14ac:dyDescent="0.25">
      <c r="A279" s="188"/>
      <c r="B279" s="190"/>
      <c r="C279" s="193"/>
      <c r="D279" s="192"/>
      <c r="E279" s="181"/>
      <c r="F279" s="192"/>
      <c r="G279" s="192">
        <f t="shared" ref="G279" si="107">F279</f>
        <v>0</v>
      </c>
      <c r="H279" s="24"/>
      <c r="I279" s="225"/>
      <c r="J279" s="186"/>
    </row>
    <row r="280" spans="1:10" s="187" customFormat="1" x14ac:dyDescent="0.25">
      <c r="A280" s="188" t="s">
        <v>412</v>
      </c>
      <c r="B280" s="189" t="s">
        <v>364</v>
      </c>
      <c r="C280" s="185" t="s">
        <v>365</v>
      </c>
      <c r="D280" s="191">
        <v>8409123000</v>
      </c>
      <c r="E280" s="196">
        <f>SUM(E281+E282)</f>
        <v>2519246400</v>
      </c>
      <c r="F280" s="196">
        <f t="shared" ref="F280:G280" si="108">F281</f>
        <v>2946683550</v>
      </c>
      <c r="G280" s="196">
        <f t="shared" si="108"/>
        <v>5465929950</v>
      </c>
      <c r="H280" s="236">
        <f>G280/D280</f>
        <v>0.65</v>
      </c>
      <c r="I280" s="225" t="s">
        <v>167</v>
      </c>
      <c r="J280" s="186"/>
    </row>
    <row r="281" spans="1:10" s="187" customFormat="1" x14ac:dyDescent="0.25">
      <c r="A281" s="188"/>
      <c r="B281" s="190"/>
      <c r="C281" s="193" t="s">
        <v>660</v>
      </c>
      <c r="D281" s="192"/>
      <c r="E281" s="181">
        <f>'Realisasi Okt'!G281</f>
        <v>2519246400</v>
      </c>
      <c r="F281" s="192">
        <v>2946683550</v>
      </c>
      <c r="G281" s="192">
        <f>E281+F281</f>
        <v>5465929950</v>
      </c>
      <c r="H281" s="252" t="e">
        <f>G281/D281</f>
        <v>#DIV/0!</v>
      </c>
      <c r="I281" s="225"/>
      <c r="J281" s="186"/>
    </row>
    <row r="282" spans="1:10" s="187" customFormat="1" x14ac:dyDescent="0.25">
      <c r="A282" s="188"/>
      <c r="B282" s="190"/>
      <c r="C282" s="35" t="s">
        <v>529</v>
      </c>
      <c r="D282" s="191"/>
      <c r="E282" s="181">
        <f>'Realisasi Sept'!G282</f>
        <v>0</v>
      </c>
      <c r="F282" s="191">
        <f>SUM(F283:F283)</f>
        <v>0</v>
      </c>
      <c r="G282" s="192">
        <f t="shared" ref="G282:G283" si="109">E282+F282</f>
        <v>0</v>
      </c>
      <c r="H282" s="253" t="e">
        <f>G282/D282</f>
        <v>#DIV/0!</v>
      </c>
      <c r="I282" s="225"/>
      <c r="J282" s="186"/>
    </row>
    <row r="283" spans="1:10" s="187" customFormat="1" x14ac:dyDescent="0.25">
      <c r="A283" s="188"/>
      <c r="B283" s="190"/>
      <c r="C283" s="193" t="s">
        <v>661</v>
      </c>
      <c r="D283" s="192"/>
      <c r="E283" s="181">
        <f>'Realisasi Okt'!G283</f>
        <v>0</v>
      </c>
      <c r="F283" s="192"/>
      <c r="G283" s="192">
        <f t="shared" si="109"/>
        <v>0</v>
      </c>
      <c r="H283" s="252" t="e">
        <f>G283/D283</f>
        <v>#DIV/0!</v>
      </c>
      <c r="I283" s="225"/>
      <c r="J283" s="186"/>
    </row>
    <row r="284" spans="1:10" s="187" customFormat="1" x14ac:dyDescent="0.25">
      <c r="A284" s="188"/>
      <c r="B284" s="190"/>
      <c r="C284" s="193"/>
      <c r="D284" s="192"/>
      <c r="E284" s="181"/>
      <c r="F284" s="192"/>
      <c r="G284" s="192"/>
      <c r="H284" s="24"/>
      <c r="I284" s="225"/>
      <c r="J284" s="186"/>
    </row>
    <row r="285" spans="1:10" s="187" customFormat="1" hidden="1" x14ac:dyDescent="0.25">
      <c r="A285" s="188" t="s">
        <v>464</v>
      </c>
      <c r="B285" s="189" t="s">
        <v>466</v>
      </c>
      <c r="C285" s="185" t="s">
        <v>467</v>
      </c>
      <c r="D285" s="191"/>
      <c r="E285" s="181" t="e">
        <f>'Realisasi Sept'!G285</f>
        <v>#REF!</v>
      </c>
      <c r="F285" s="191">
        <f t="shared" ref="F285:G285" si="110">SUM(F286:F287)</f>
        <v>0</v>
      </c>
      <c r="G285" s="191" t="e">
        <f t="shared" si="110"/>
        <v>#REF!</v>
      </c>
      <c r="H285" s="24"/>
      <c r="I285" s="225"/>
      <c r="J285" s="186"/>
    </row>
    <row r="286" spans="1:10" s="187" customFormat="1" hidden="1" x14ac:dyDescent="0.25">
      <c r="A286" s="188"/>
      <c r="B286" s="190"/>
      <c r="C286" s="193" t="s">
        <v>487</v>
      </c>
      <c r="D286" s="192"/>
      <c r="E286" s="181" t="e">
        <f>'Realisasi Sept'!G286</f>
        <v>#REF!</v>
      </c>
      <c r="F286" s="192">
        <v>0</v>
      </c>
      <c r="G286" s="192" t="e">
        <f>#REF!+F286</f>
        <v>#REF!</v>
      </c>
      <c r="H286" s="24"/>
      <c r="I286" s="225"/>
      <c r="J286" s="186"/>
    </row>
    <row r="287" spans="1:10" s="187" customFormat="1" hidden="1" x14ac:dyDescent="0.25">
      <c r="A287" s="188"/>
      <c r="B287" s="190"/>
      <c r="C287" s="193"/>
      <c r="D287" s="192"/>
      <c r="E287" s="181">
        <f>'Realisasi Sept'!G287</f>
        <v>0</v>
      </c>
      <c r="F287" s="192"/>
      <c r="G287" s="192"/>
      <c r="H287" s="24"/>
      <c r="I287" s="225"/>
      <c r="J287" s="186"/>
    </row>
    <row r="288" spans="1:10" s="187" customFormat="1" x14ac:dyDescent="0.25">
      <c r="A288" s="188" t="s">
        <v>465</v>
      </c>
      <c r="B288" s="189" t="s">
        <v>366</v>
      </c>
      <c r="C288" s="185" t="s">
        <v>367</v>
      </c>
      <c r="D288" s="191">
        <v>1958311000</v>
      </c>
      <c r="E288" s="196">
        <f>SUM(E289)</f>
        <v>1272902150</v>
      </c>
      <c r="F288" s="196">
        <f t="shared" ref="F288:G288" si="111">F289</f>
        <v>0</v>
      </c>
      <c r="G288" s="196">
        <f t="shared" si="111"/>
        <v>1272902150</v>
      </c>
      <c r="H288" s="236">
        <f>G288/D288</f>
        <v>0.65</v>
      </c>
      <c r="I288" s="225" t="s">
        <v>167</v>
      </c>
      <c r="J288" s="186"/>
    </row>
    <row r="289" spans="1:10" s="187" customFormat="1" x14ac:dyDescent="0.25">
      <c r="A289" s="188"/>
      <c r="B289" s="190"/>
      <c r="C289" s="193" t="s">
        <v>662</v>
      </c>
      <c r="D289" s="192"/>
      <c r="E289" s="181">
        <f>'Realisasi Okt'!G289</f>
        <v>1272902150</v>
      </c>
      <c r="F289" s="192"/>
      <c r="G289" s="192">
        <f>E289+F289</f>
        <v>1272902150</v>
      </c>
      <c r="H289" s="252" t="e">
        <f>G289/D289</f>
        <v>#DIV/0!</v>
      </c>
      <c r="I289" s="225"/>
      <c r="J289" s="186"/>
    </row>
    <row r="290" spans="1:10" s="187" customFormat="1" x14ac:dyDescent="0.25">
      <c r="A290" s="188"/>
      <c r="B290" s="190"/>
      <c r="C290" s="35" t="s">
        <v>530</v>
      </c>
      <c r="D290" s="191"/>
      <c r="E290" s="181">
        <f>'Realisasi Sept'!G290</f>
        <v>0</v>
      </c>
      <c r="F290" s="191">
        <f>SUM(F291:F291)</f>
        <v>0</v>
      </c>
      <c r="G290" s="191">
        <f>SUM(G291:G291)</f>
        <v>0</v>
      </c>
      <c r="H290" s="253" t="e">
        <f>G290/D290</f>
        <v>#DIV/0!</v>
      </c>
      <c r="I290" s="225"/>
      <c r="J290" s="186"/>
    </row>
    <row r="291" spans="1:10" s="187" customFormat="1" x14ac:dyDescent="0.25">
      <c r="A291" s="188"/>
      <c r="B291" s="190"/>
      <c r="C291" s="193" t="s">
        <v>663</v>
      </c>
      <c r="D291" s="192"/>
      <c r="E291" s="181">
        <f>'Realisasi Sept'!G291</f>
        <v>0</v>
      </c>
      <c r="F291" s="192"/>
      <c r="G291" s="192">
        <f>E291+F291</f>
        <v>0</v>
      </c>
      <c r="H291" s="252" t="e">
        <f>G291/D291</f>
        <v>#DIV/0!</v>
      </c>
      <c r="I291" s="225"/>
      <c r="J291" s="186"/>
    </row>
    <row r="292" spans="1:10" s="176" customFormat="1" x14ac:dyDescent="0.25">
      <c r="A292" s="27"/>
      <c r="B292" s="178"/>
      <c r="C292" s="183"/>
      <c r="D292" s="192"/>
      <c r="E292" s="192"/>
      <c r="F292" s="192"/>
      <c r="G292" s="191"/>
      <c r="H292" s="236"/>
      <c r="I292" s="224"/>
      <c r="J292" s="175"/>
    </row>
    <row r="293" spans="1:10" s="176" customFormat="1" x14ac:dyDescent="0.25">
      <c r="A293" s="138" t="s">
        <v>169</v>
      </c>
      <c r="B293" s="139" t="s">
        <v>368</v>
      </c>
      <c r="C293" s="140" t="s">
        <v>369</v>
      </c>
      <c r="D293" s="142">
        <v>429554051000</v>
      </c>
      <c r="E293" s="142">
        <f>'Realisasi Okt'!G293</f>
        <v>391946076138</v>
      </c>
      <c r="F293" s="142">
        <v>35796181000</v>
      </c>
      <c r="G293" s="141">
        <f>E293+F293</f>
        <v>427742257138</v>
      </c>
      <c r="H293" s="240">
        <f>G293/D293</f>
        <v>0.99578215161099715</v>
      </c>
      <c r="I293" s="225" t="s">
        <v>468</v>
      </c>
      <c r="J293" s="175"/>
    </row>
    <row r="294" spans="1:10" s="176" customFormat="1" x14ac:dyDescent="0.25">
      <c r="A294" s="27"/>
      <c r="B294" s="178"/>
      <c r="C294" s="39"/>
      <c r="D294" s="38"/>
      <c r="E294" s="38"/>
      <c r="F294" s="38"/>
      <c r="G294" s="38"/>
      <c r="H294" s="241"/>
      <c r="I294" s="225"/>
      <c r="J294" s="175"/>
    </row>
    <row r="295" spans="1:10" s="176" customFormat="1" x14ac:dyDescent="0.25">
      <c r="A295" s="138" t="s">
        <v>170</v>
      </c>
      <c r="B295" s="139" t="s">
        <v>370</v>
      </c>
      <c r="C295" s="140" t="s">
        <v>371</v>
      </c>
      <c r="D295" s="141">
        <f>SUM(D297+D350+D327)</f>
        <v>62721068973</v>
      </c>
      <c r="E295" s="141">
        <f t="shared" ref="E295:G295" si="112">SUM(E297+E350+E327)</f>
        <v>47147247079</v>
      </c>
      <c r="F295" s="141">
        <f t="shared" si="112"/>
        <v>9404395400</v>
      </c>
      <c r="G295" s="141">
        <f t="shared" si="112"/>
        <v>56551642479</v>
      </c>
      <c r="H295" s="240">
        <f>G295/D295</f>
        <v>0.90163709587513885</v>
      </c>
      <c r="I295" s="225" t="s">
        <v>469</v>
      </c>
      <c r="J295" s="175"/>
    </row>
    <row r="296" spans="1:10" s="176" customFormat="1" x14ac:dyDescent="0.25">
      <c r="A296" s="40"/>
      <c r="B296" s="22"/>
      <c r="C296" s="185"/>
      <c r="D296" s="191"/>
      <c r="E296" s="191"/>
      <c r="F296" s="191"/>
      <c r="G296" s="191"/>
      <c r="H296" s="236"/>
      <c r="I296" s="224"/>
      <c r="J296" s="175"/>
    </row>
    <row r="297" spans="1:10" s="176" customFormat="1" ht="38.25" customHeight="1" x14ac:dyDescent="0.25">
      <c r="A297" s="293"/>
      <c r="B297" s="262" t="s">
        <v>413</v>
      </c>
      <c r="C297" s="41" t="s">
        <v>171</v>
      </c>
      <c r="D297" s="42">
        <f>SUM(D304+D311+D313+D315+D317+D319+D321+D298+D324)</f>
        <v>62721068973</v>
      </c>
      <c r="E297" s="42">
        <f>E298+E304+E315+E317+E321+E324</f>
        <v>47147247079</v>
      </c>
      <c r="F297" s="42">
        <f t="shared" ref="F297:G297" si="113">F298+F304+F315+F317+F321+F324</f>
        <v>9404395400</v>
      </c>
      <c r="G297" s="42">
        <f t="shared" si="113"/>
        <v>56551642479</v>
      </c>
      <c r="H297" s="237">
        <f t="shared" ref="H297:H320" si="114">G297/D297</f>
        <v>0.90163709587513885</v>
      </c>
      <c r="I297" s="225" t="s">
        <v>470</v>
      </c>
      <c r="J297" s="175"/>
    </row>
    <row r="298" spans="1:10" s="176" customFormat="1" x14ac:dyDescent="0.25">
      <c r="A298" s="40"/>
      <c r="B298" s="43">
        <v>1</v>
      </c>
      <c r="C298" s="185" t="s">
        <v>172</v>
      </c>
      <c r="D298" s="191">
        <f>SUM(D299:D303)</f>
        <v>23287427000</v>
      </c>
      <c r="E298" s="191">
        <f>SUM(E299:E303)</f>
        <v>16887041500</v>
      </c>
      <c r="F298" s="191">
        <f t="shared" ref="F298:G298" si="115">SUM(F299:F303)</f>
        <v>6306303400</v>
      </c>
      <c r="G298" s="191">
        <f t="shared" si="115"/>
        <v>23193344900</v>
      </c>
      <c r="H298" s="236">
        <f t="shared" si="114"/>
        <v>0.99595996157067934</v>
      </c>
      <c r="I298" s="225"/>
      <c r="J298" s="175"/>
    </row>
    <row r="299" spans="1:10" s="176" customFormat="1" x14ac:dyDescent="0.25">
      <c r="A299" s="40"/>
      <c r="B299" s="190" t="s">
        <v>531</v>
      </c>
      <c r="C299" s="193" t="s">
        <v>173</v>
      </c>
      <c r="D299" s="192">
        <v>1376396000</v>
      </c>
      <c r="E299" s="192">
        <f>'Realisasi Okt'!G299</f>
        <v>735977200</v>
      </c>
      <c r="F299" s="192">
        <f>315418800+323427000</f>
        <v>638845800</v>
      </c>
      <c r="G299" s="192">
        <f>E299+F299</f>
        <v>1374823000</v>
      </c>
      <c r="H299" s="24">
        <f t="shared" si="114"/>
        <v>0.99885716029398519</v>
      </c>
      <c r="I299" s="225" t="s">
        <v>471</v>
      </c>
      <c r="J299" s="175"/>
    </row>
    <row r="300" spans="1:10" s="176" customFormat="1" x14ac:dyDescent="0.25">
      <c r="A300" s="40"/>
      <c r="B300" s="190" t="s">
        <v>532</v>
      </c>
      <c r="C300" s="193" t="s">
        <v>174</v>
      </c>
      <c r="D300" s="192">
        <v>10775078000</v>
      </c>
      <c r="E300" s="192">
        <f>'Realisasi Okt'!G300</f>
        <v>8870817600</v>
      </c>
      <c r="F300" s="192">
        <v>1845023400</v>
      </c>
      <c r="G300" s="192">
        <f t="shared" ref="G300:G303" si="116">E300+F300</f>
        <v>10715841000</v>
      </c>
      <c r="H300" s="24">
        <f t="shared" si="114"/>
        <v>0.9945024063862925</v>
      </c>
      <c r="I300" s="225" t="s">
        <v>471</v>
      </c>
      <c r="J300" s="175"/>
    </row>
    <row r="301" spans="1:10" s="176" customFormat="1" x14ac:dyDescent="0.25">
      <c r="A301" s="40"/>
      <c r="B301" s="190" t="s">
        <v>533</v>
      </c>
      <c r="C301" s="193" t="s">
        <v>175</v>
      </c>
      <c r="D301" s="192">
        <v>10360454000</v>
      </c>
      <c r="E301" s="192">
        <f>'Realisasi Okt'!G301</f>
        <v>6507230800</v>
      </c>
      <c r="F301" s="192">
        <f>1033621000+2788813200</f>
        <v>3822434200</v>
      </c>
      <c r="G301" s="192">
        <f t="shared" si="116"/>
        <v>10329665000</v>
      </c>
      <c r="H301" s="24">
        <f t="shared" si="114"/>
        <v>0.99702821903364469</v>
      </c>
      <c r="I301" s="225" t="s">
        <v>471</v>
      </c>
      <c r="J301" s="175"/>
    </row>
    <row r="302" spans="1:10" s="176" customFormat="1" x14ac:dyDescent="0.25">
      <c r="A302" s="40"/>
      <c r="B302" s="190"/>
      <c r="C302" s="193" t="s">
        <v>684</v>
      </c>
      <c r="D302" s="192">
        <v>470885000</v>
      </c>
      <c r="E302" s="192">
        <f>'Realisasi Okt'!G302</f>
        <v>470885000</v>
      </c>
      <c r="F302" s="192"/>
      <c r="G302" s="192">
        <f t="shared" si="116"/>
        <v>470885000</v>
      </c>
      <c r="H302" s="24">
        <f t="shared" si="114"/>
        <v>1</v>
      </c>
      <c r="I302" s="225"/>
      <c r="J302" s="175"/>
    </row>
    <row r="303" spans="1:10" s="176" customFormat="1" x14ac:dyDescent="0.25">
      <c r="A303" s="40"/>
      <c r="B303" s="190" t="s">
        <v>534</v>
      </c>
      <c r="C303" s="193" t="s">
        <v>176</v>
      </c>
      <c r="D303" s="192">
        <v>304614000</v>
      </c>
      <c r="E303" s="192">
        <f>'Realisasi Okt'!G303</f>
        <v>302130900</v>
      </c>
      <c r="F303" s="192"/>
      <c r="G303" s="192">
        <f t="shared" si="116"/>
        <v>302130900</v>
      </c>
      <c r="H303" s="24">
        <f t="shared" si="114"/>
        <v>0.99184837203805476</v>
      </c>
      <c r="I303" s="225" t="s">
        <v>471</v>
      </c>
      <c r="J303" s="175"/>
    </row>
    <row r="304" spans="1:10" s="176" customFormat="1" x14ac:dyDescent="0.25">
      <c r="A304" s="40"/>
      <c r="B304" s="43">
        <v>2</v>
      </c>
      <c r="C304" s="185" t="s">
        <v>177</v>
      </c>
      <c r="D304" s="191">
        <f>SUM(D305:D310)</f>
        <v>21101016973</v>
      </c>
      <c r="E304" s="191">
        <f t="shared" ref="E304:G304" si="117">SUM(E305:E310)</f>
        <v>17427368079</v>
      </c>
      <c r="F304" s="191">
        <f t="shared" si="117"/>
        <v>910105500</v>
      </c>
      <c r="G304" s="191">
        <f t="shared" si="117"/>
        <v>18337473579</v>
      </c>
      <c r="H304" s="236">
        <f t="shared" si="114"/>
        <v>0.86903269176380848</v>
      </c>
      <c r="I304" s="225"/>
      <c r="J304" s="175"/>
    </row>
    <row r="305" spans="1:10" s="176" customFormat="1" x14ac:dyDescent="0.25">
      <c r="A305" s="40"/>
      <c r="B305" s="190" t="s">
        <v>535</v>
      </c>
      <c r="C305" s="193" t="s">
        <v>178</v>
      </c>
      <c r="D305" s="192"/>
      <c r="E305" s="192">
        <f>'Realisasi Okt'!G305</f>
        <v>0</v>
      </c>
      <c r="F305" s="192"/>
      <c r="G305" s="192">
        <f>E305+F305</f>
        <v>0</v>
      </c>
      <c r="H305" s="252" t="e">
        <f t="shared" si="114"/>
        <v>#DIV/0!</v>
      </c>
      <c r="I305" s="225" t="s">
        <v>471</v>
      </c>
      <c r="J305" s="175"/>
    </row>
    <row r="306" spans="1:10" s="176" customFormat="1" x14ac:dyDescent="0.25">
      <c r="A306" s="40"/>
      <c r="B306" s="190" t="s">
        <v>536</v>
      </c>
      <c r="C306" s="193" t="s">
        <v>372</v>
      </c>
      <c r="D306" s="192"/>
      <c r="E306" s="192">
        <f>'Realisasi Okt'!G306</f>
        <v>0</v>
      </c>
      <c r="F306" s="192"/>
      <c r="G306" s="192">
        <f t="shared" ref="G306:G318" si="118">E306+F306</f>
        <v>0</v>
      </c>
      <c r="H306" s="252" t="e">
        <f t="shared" si="114"/>
        <v>#DIV/0!</v>
      </c>
      <c r="I306" s="225" t="s">
        <v>471</v>
      </c>
      <c r="J306" s="175"/>
    </row>
    <row r="307" spans="1:10" s="176" customFormat="1" x14ac:dyDescent="0.25">
      <c r="A307" s="40"/>
      <c r="B307" s="190" t="s">
        <v>537</v>
      </c>
      <c r="C307" s="193" t="s">
        <v>179</v>
      </c>
      <c r="D307" s="192">
        <v>2892701000</v>
      </c>
      <c r="E307" s="192">
        <f>'Realisasi Okt'!G307</f>
        <v>1524806531</v>
      </c>
      <c r="F307" s="192">
        <v>910105500</v>
      </c>
      <c r="G307" s="192">
        <f t="shared" si="118"/>
        <v>2434912031</v>
      </c>
      <c r="H307" s="24">
        <f t="shared" si="114"/>
        <v>0.84174341938555008</v>
      </c>
      <c r="I307" s="225" t="s">
        <v>471</v>
      </c>
      <c r="J307" s="175"/>
    </row>
    <row r="308" spans="1:10" s="176" customFormat="1" x14ac:dyDescent="0.25">
      <c r="A308" s="40"/>
      <c r="B308" s="190" t="s">
        <v>538</v>
      </c>
      <c r="C308" s="193" t="s">
        <v>180</v>
      </c>
      <c r="D308" s="192">
        <v>12902970863</v>
      </c>
      <c r="E308" s="192">
        <f>'Realisasi Okt'!G308</f>
        <v>10855643440</v>
      </c>
      <c r="F308" s="192"/>
      <c r="G308" s="192">
        <f t="shared" si="118"/>
        <v>10855643440</v>
      </c>
      <c r="H308" s="24">
        <f t="shared" si="114"/>
        <v>0.84132898967703418</v>
      </c>
      <c r="I308" s="225" t="s">
        <v>471</v>
      </c>
      <c r="J308" s="175"/>
    </row>
    <row r="309" spans="1:10" s="176" customFormat="1" x14ac:dyDescent="0.25">
      <c r="A309" s="40"/>
      <c r="B309" s="190" t="s">
        <v>373</v>
      </c>
      <c r="C309" s="193" t="s">
        <v>181</v>
      </c>
      <c r="D309" s="192">
        <v>1124477000</v>
      </c>
      <c r="E309" s="192">
        <f>'Realisasi Okt'!G309</f>
        <v>1081330000</v>
      </c>
      <c r="F309" s="192"/>
      <c r="G309" s="192">
        <f t="shared" si="118"/>
        <v>1081330000</v>
      </c>
      <c r="H309" s="24">
        <f t="shared" si="114"/>
        <v>0.96162927298646395</v>
      </c>
      <c r="I309" s="225" t="s">
        <v>471</v>
      </c>
      <c r="J309" s="175"/>
    </row>
    <row r="310" spans="1:10" s="176" customFormat="1" x14ac:dyDescent="0.25">
      <c r="A310" s="40"/>
      <c r="B310" s="190"/>
      <c r="C310" s="193" t="s">
        <v>706</v>
      </c>
      <c r="D310" s="192">
        <v>4180868110</v>
      </c>
      <c r="E310" s="192">
        <f>'Realisasi Okt'!G310</f>
        <v>3965588108</v>
      </c>
      <c r="F310" s="192"/>
      <c r="G310" s="192">
        <f t="shared" si="118"/>
        <v>3965588108</v>
      </c>
      <c r="H310" s="24">
        <f t="shared" si="114"/>
        <v>0.94850830106668926</v>
      </c>
      <c r="I310" s="225"/>
      <c r="J310" s="175"/>
    </row>
    <row r="311" spans="1:10" s="176" customFormat="1" x14ac:dyDescent="0.25">
      <c r="A311" s="40"/>
      <c r="B311" s="43">
        <v>3</v>
      </c>
      <c r="C311" s="185" t="s">
        <v>182</v>
      </c>
      <c r="D311" s="191">
        <f>SUM(D312:D312)</f>
        <v>0</v>
      </c>
      <c r="E311" s="192">
        <f>'Realisasi Juli'!G316</f>
        <v>0</v>
      </c>
      <c r="F311" s="191"/>
      <c r="G311" s="192">
        <f t="shared" si="118"/>
        <v>0</v>
      </c>
      <c r="H311" s="252" t="e">
        <f t="shared" si="114"/>
        <v>#DIV/0!</v>
      </c>
      <c r="I311" s="224"/>
      <c r="J311" s="175"/>
    </row>
    <row r="312" spans="1:10" s="176" customFormat="1" x14ac:dyDescent="0.25">
      <c r="A312" s="40"/>
      <c r="B312" s="44"/>
      <c r="C312" s="193" t="s">
        <v>183</v>
      </c>
      <c r="D312" s="192">
        <v>0</v>
      </c>
      <c r="E312" s="192">
        <f>'Realisasi Okt'!G312</f>
        <v>0</v>
      </c>
      <c r="F312" s="192"/>
      <c r="G312" s="192">
        <f t="shared" si="118"/>
        <v>0</v>
      </c>
      <c r="H312" s="252" t="e">
        <f t="shared" si="114"/>
        <v>#DIV/0!</v>
      </c>
      <c r="I312" s="223"/>
      <c r="J312" s="175"/>
    </row>
    <row r="313" spans="1:10" s="176" customFormat="1" x14ac:dyDescent="0.25">
      <c r="A313" s="40"/>
      <c r="B313" s="43">
        <v>4</v>
      </c>
      <c r="C313" s="185" t="s">
        <v>184</v>
      </c>
      <c r="D313" s="191">
        <f>SUM(D314:D314)</f>
        <v>0</v>
      </c>
      <c r="E313" s="192">
        <f>'Realisasi Juli'!G318</f>
        <v>0</v>
      </c>
      <c r="F313" s="191"/>
      <c r="G313" s="192">
        <f t="shared" si="118"/>
        <v>0</v>
      </c>
      <c r="H313" s="252" t="e">
        <f t="shared" si="114"/>
        <v>#DIV/0!</v>
      </c>
      <c r="I313" s="223"/>
      <c r="J313" s="175"/>
    </row>
    <row r="314" spans="1:10" s="176" customFormat="1" x14ac:dyDescent="0.25">
      <c r="A314" s="40"/>
      <c r="B314" s="44"/>
      <c r="C314" s="193" t="s">
        <v>185</v>
      </c>
      <c r="D314" s="192">
        <v>0</v>
      </c>
      <c r="E314" s="192">
        <f>'Realisasi Juli'!G319</f>
        <v>0</v>
      </c>
      <c r="F314" s="192"/>
      <c r="G314" s="192">
        <f t="shared" si="118"/>
        <v>0</v>
      </c>
      <c r="H314" s="252" t="e">
        <f t="shared" si="114"/>
        <v>#DIV/0!</v>
      </c>
      <c r="I314" s="223"/>
      <c r="J314" s="175"/>
    </row>
    <row r="315" spans="1:10" s="176" customFormat="1" x14ac:dyDescent="0.25">
      <c r="A315" s="40"/>
      <c r="B315" s="43">
        <v>3</v>
      </c>
      <c r="C315" s="35" t="s">
        <v>186</v>
      </c>
      <c r="D315" s="191">
        <f>SUM(D316:D316)</f>
        <v>4803838000</v>
      </c>
      <c r="E315" s="191">
        <f t="shared" ref="E315:G315" si="119">SUM(E316:E316)</f>
        <v>3362686600</v>
      </c>
      <c r="F315" s="191">
        <f t="shared" si="119"/>
        <v>0</v>
      </c>
      <c r="G315" s="191">
        <f t="shared" si="119"/>
        <v>3362686600</v>
      </c>
      <c r="H315" s="236">
        <f t="shared" si="114"/>
        <v>0.7</v>
      </c>
      <c r="I315" s="223"/>
      <c r="J315" s="175"/>
    </row>
    <row r="316" spans="1:10" s="176" customFormat="1" x14ac:dyDescent="0.25">
      <c r="A316" s="40"/>
      <c r="B316" s="190" t="s">
        <v>374</v>
      </c>
      <c r="C316" s="193" t="s">
        <v>187</v>
      </c>
      <c r="D316" s="192">
        <v>4803838000</v>
      </c>
      <c r="E316" s="192">
        <f>'Realisasi Okt'!G316</f>
        <v>3362686600</v>
      </c>
      <c r="F316" s="192"/>
      <c r="G316" s="192">
        <f t="shared" si="118"/>
        <v>3362686600</v>
      </c>
      <c r="H316" s="24">
        <f t="shared" si="114"/>
        <v>0.7</v>
      </c>
      <c r="I316" s="225"/>
      <c r="J316" s="175"/>
    </row>
    <row r="317" spans="1:10" s="176" customFormat="1" x14ac:dyDescent="0.25">
      <c r="A317" s="40"/>
      <c r="B317" s="43">
        <v>4</v>
      </c>
      <c r="C317" s="185" t="s">
        <v>188</v>
      </c>
      <c r="D317" s="191">
        <f>SUM(D318)</f>
        <v>6188582000</v>
      </c>
      <c r="E317" s="191">
        <f t="shared" ref="E317:G317" si="120">SUM(E318)</f>
        <v>4332007400</v>
      </c>
      <c r="F317" s="191">
        <f t="shared" si="120"/>
        <v>0</v>
      </c>
      <c r="G317" s="191">
        <f t="shared" si="120"/>
        <v>4332007400</v>
      </c>
      <c r="H317" s="236">
        <f t="shared" si="114"/>
        <v>0.7</v>
      </c>
      <c r="I317" s="223"/>
      <c r="J317" s="175"/>
    </row>
    <row r="318" spans="1:10" s="176" customFormat="1" x14ac:dyDescent="0.25">
      <c r="A318" s="40"/>
      <c r="B318" s="190" t="s">
        <v>375</v>
      </c>
      <c r="C318" s="193" t="s">
        <v>189</v>
      </c>
      <c r="D318" s="192">
        <v>6188582000</v>
      </c>
      <c r="E318" s="192">
        <f>'Realisasi Okt'!G318</f>
        <v>4332007400</v>
      </c>
      <c r="F318" s="192"/>
      <c r="G318" s="192">
        <f t="shared" si="118"/>
        <v>4332007400</v>
      </c>
      <c r="H318" s="24">
        <f t="shared" si="114"/>
        <v>0.7</v>
      </c>
      <c r="I318" s="225"/>
      <c r="J318" s="175"/>
    </row>
    <row r="319" spans="1:10" s="176" customFormat="1" hidden="1" x14ac:dyDescent="0.25">
      <c r="A319" s="40"/>
      <c r="B319" s="43">
        <v>5</v>
      </c>
      <c r="C319" s="185" t="s">
        <v>190</v>
      </c>
      <c r="D319" s="191">
        <f>SUM(D320)</f>
        <v>0</v>
      </c>
      <c r="E319" s="191"/>
      <c r="F319" s="191">
        <f>SUM(F320)</f>
        <v>0</v>
      </c>
      <c r="G319" s="192" t="e">
        <f>#REF!+F319</f>
        <v>#REF!</v>
      </c>
      <c r="H319" s="24" t="e">
        <f t="shared" si="114"/>
        <v>#REF!</v>
      </c>
      <c r="I319" s="224"/>
      <c r="J319" s="175"/>
    </row>
    <row r="320" spans="1:10" s="176" customFormat="1" hidden="1" x14ac:dyDescent="0.25">
      <c r="A320" s="40"/>
      <c r="B320" s="44"/>
      <c r="C320" s="193" t="s">
        <v>191</v>
      </c>
      <c r="D320" s="192">
        <v>0</v>
      </c>
      <c r="E320" s="192"/>
      <c r="F320" s="192">
        <v>0</v>
      </c>
      <c r="G320" s="192" t="e">
        <f>#REF!+F320</f>
        <v>#REF!</v>
      </c>
      <c r="H320" s="24" t="e">
        <f t="shared" si="114"/>
        <v>#REF!</v>
      </c>
      <c r="I320" s="223"/>
      <c r="J320" s="175"/>
    </row>
    <row r="321" spans="1:10" s="176" customFormat="1" x14ac:dyDescent="0.25">
      <c r="A321" s="40"/>
      <c r="B321" s="43">
        <v>5</v>
      </c>
      <c r="C321" s="185" t="s">
        <v>192</v>
      </c>
      <c r="D321" s="191">
        <f>SUM(D322:D323)</f>
        <v>0</v>
      </c>
      <c r="E321" s="191">
        <f t="shared" ref="E321:G321" si="121">SUM(E322:E323)</f>
        <v>0</v>
      </c>
      <c r="F321" s="191">
        <f t="shared" si="121"/>
        <v>0</v>
      </c>
      <c r="G321" s="191">
        <f t="shared" si="121"/>
        <v>0</v>
      </c>
      <c r="H321" s="253" t="e">
        <f>G321/D321</f>
        <v>#DIV/0!</v>
      </c>
      <c r="I321" s="223"/>
      <c r="J321" s="175"/>
    </row>
    <row r="322" spans="1:10" s="176" customFormat="1" x14ac:dyDescent="0.25">
      <c r="A322" s="40"/>
      <c r="B322" s="190" t="s">
        <v>539</v>
      </c>
      <c r="C322" s="193" t="s">
        <v>193</v>
      </c>
      <c r="D322" s="192"/>
      <c r="E322" s="192">
        <f>'Realisasi Agustus'!H330</f>
        <v>0</v>
      </c>
      <c r="F322" s="192"/>
      <c r="G322" s="192">
        <f>E322+F322</f>
        <v>0</v>
      </c>
      <c r="H322" s="252" t="e">
        <f>G322/D322</f>
        <v>#DIV/0!</v>
      </c>
      <c r="I322" s="225" t="s">
        <v>470</v>
      </c>
      <c r="J322" s="175"/>
    </row>
    <row r="323" spans="1:10" s="176" customFormat="1" x14ac:dyDescent="0.25">
      <c r="A323" s="40"/>
      <c r="B323" s="190" t="s">
        <v>540</v>
      </c>
      <c r="C323" s="193" t="s">
        <v>194</v>
      </c>
      <c r="D323" s="192"/>
      <c r="E323" s="192">
        <f>'Realisasi Agustus'!H331</f>
        <v>0</v>
      </c>
      <c r="F323" s="192"/>
      <c r="G323" s="192">
        <f>E323+F323</f>
        <v>0</v>
      </c>
      <c r="H323" s="252" t="e">
        <f>G323/D323</f>
        <v>#DIV/0!</v>
      </c>
      <c r="I323" s="225" t="s">
        <v>470</v>
      </c>
      <c r="J323" s="175"/>
    </row>
    <row r="324" spans="1:10" s="176" customFormat="1" x14ac:dyDescent="0.25">
      <c r="A324" s="40"/>
      <c r="B324" s="43">
        <v>6</v>
      </c>
      <c r="C324" s="170" t="s">
        <v>206</v>
      </c>
      <c r="D324" s="191">
        <f>D325</f>
        <v>7340205000</v>
      </c>
      <c r="E324" s="191">
        <f t="shared" ref="E324:G324" si="122">E325</f>
        <v>5138143500</v>
      </c>
      <c r="F324" s="191">
        <f t="shared" si="122"/>
        <v>2187986500</v>
      </c>
      <c r="G324" s="191">
        <f t="shared" si="122"/>
        <v>7326130000</v>
      </c>
      <c r="H324" s="236">
        <f>G324/D324</f>
        <v>0.99808247862287225</v>
      </c>
      <c r="I324" s="225"/>
      <c r="J324" s="175"/>
    </row>
    <row r="325" spans="1:10" s="176" customFormat="1" x14ac:dyDescent="0.25">
      <c r="A325" s="40"/>
      <c r="B325" s="190"/>
      <c r="C325" s="48" t="s">
        <v>210</v>
      </c>
      <c r="D325" s="192">
        <v>7340205000</v>
      </c>
      <c r="E325" s="192">
        <f>'Realisasi Okt'!G325</f>
        <v>5138143500</v>
      </c>
      <c r="F325" s="192">
        <v>2187986500</v>
      </c>
      <c r="G325" s="192">
        <f>E325+F325</f>
        <v>7326130000</v>
      </c>
      <c r="H325" s="24">
        <f>G325/D325</f>
        <v>0.99808247862287225</v>
      </c>
      <c r="I325" s="225"/>
      <c r="J325" s="175"/>
    </row>
    <row r="326" spans="1:10" s="176" customFormat="1" x14ac:dyDescent="0.25">
      <c r="A326" s="40"/>
      <c r="B326" s="178"/>
      <c r="C326" s="183"/>
      <c r="D326" s="192"/>
      <c r="E326" s="192"/>
      <c r="F326" s="192"/>
      <c r="G326" s="191"/>
      <c r="H326" s="236"/>
      <c r="I326" s="224"/>
      <c r="J326" s="175"/>
    </row>
    <row r="327" spans="1:10" s="176" customFormat="1" ht="37.5" hidden="1" customHeight="1" x14ac:dyDescent="0.25">
      <c r="A327" s="293"/>
      <c r="B327" s="262" t="s">
        <v>414</v>
      </c>
      <c r="C327" s="45" t="s">
        <v>195</v>
      </c>
      <c r="D327" s="42">
        <f>SUM(D328+D337+D339+D341+D343+D345+D347)</f>
        <v>0</v>
      </c>
      <c r="E327" s="42">
        <f t="shared" ref="E327:G327" si="123">SUM(E328+E337+E339+E341+E343+E345+E347)</f>
        <v>0</v>
      </c>
      <c r="F327" s="42">
        <f t="shared" si="123"/>
        <v>0</v>
      </c>
      <c r="G327" s="42">
        <f t="shared" si="123"/>
        <v>0</v>
      </c>
      <c r="H327" s="237" t="e">
        <f>G327/D327</f>
        <v>#DIV/0!</v>
      </c>
      <c r="I327" s="225" t="s">
        <v>469</v>
      </c>
      <c r="J327" s="175"/>
    </row>
    <row r="328" spans="1:10" s="176" customFormat="1" hidden="1" x14ac:dyDescent="0.25">
      <c r="A328" s="40"/>
      <c r="B328" s="43">
        <v>1</v>
      </c>
      <c r="C328" s="185" t="s">
        <v>177</v>
      </c>
      <c r="D328" s="191">
        <f>SUM(D330:D335)</f>
        <v>0</v>
      </c>
      <c r="E328" s="191">
        <f t="shared" ref="E328:G328" si="124">SUM(E330:E335)</f>
        <v>0</v>
      </c>
      <c r="F328" s="191">
        <f t="shared" si="124"/>
        <v>0</v>
      </c>
      <c r="G328" s="191">
        <f t="shared" si="124"/>
        <v>0</v>
      </c>
      <c r="H328" s="236" t="e">
        <f>G328/D328</f>
        <v>#DIV/0!</v>
      </c>
      <c r="I328" s="225"/>
      <c r="J328" s="175"/>
    </row>
    <row r="329" spans="1:10" s="176" customFormat="1" hidden="1" x14ac:dyDescent="0.25">
      <c r="A329" s="40"/>
      <c r="B329" s="44"/>
      <c r="C329" s="193" t="s">
        <v>196</v>
      </c>
      <c r="D329" s="192">
        <v>0</v>
      </c>
      <c r="E329" s="192"/>
      <c r="F329" s="192">
        <v>0</v>
      </c>
      <c r="G329" s="191" t="e">
        <f>#REF!+F329</f>
        <v>#REF!</v>
      </c>
      <c r="H329" s="236" t="e">
        <f t="shared" ref="H329:H334" si="125">G329/D329</f>
        <v>#REF!</v>
      </c>
      <c r="I329" s="223"/>
      <c r="J329" s="175"/>
    </row>
    <row r="330" spans="1:10" s="176" customFormat="1" hidden="1" x14ac:dyDescent="0.25">
      <c r="A330" s="40"/>
      <c r="B330" s="190" t="s">
        <v>388</v>
      </c>
      <c r="C330" s="193" t="s">
        <v>197</v>
      </c>
      <c r="D330" s="192">
        <v>0</v>
      </c>
      <c r="E330" s="192">
        <f>'Realisasi Agustus'!H338</f>
        <v>0</v>
      </c>
      <c r="F330" s="192"/>
      <c r="G330" s="192">
        <f>E330+F330</f>
        <v>0</v>
      </c>
      <c r="H330" s="24" t="e">
        <f t="shared" si="125"/>
        <v>#DIV/0!</v>
      </c>
      <c r="I330" s="225"/>
      <c r="J330" s="175"/>
    </row>
    <row r="331" spans="1:10" s="176" customFormat="1" ht="18" hidden="1" customHeight="1" x14ac:dyDescent="0.25">
      <c r="A331" s="40"/>
      <c r="B331" s="44"/>
      <c r="C331" s="193" t="s">
        <v>198</v>
      </c>
      <c r="D331" s="192"/>
      <c r="E331" s="192">
        <f>'Realisasi Agustus'!H339</f>
        <v>0</v>
      </c>
      <c r="F331" s="192"/>
      <c r="G331" s="192">
        <f t="shared" ref="G331:G335" si="126">E331+F331</f>
        <v>0</v>
      </c>
      <c r="H331" s="24" t="e">
        <f t="shared" si="125"/>
        <v>#DIV/0!</v>
      </c>
      <c r="I331" s="223"/>
      <c r="J331" s="175"/>
    </row>
    <row r="332" spans="1:10" s="176" customFormat="1" hidden="1" x14ac:dyDescent="0.25">
      <c r="A332" s="40"/>
      <c r="B332" s="190" t="s">
        <v>389</v>
      </c>
      <c r="C332" s="193" t="s">
        <v>199</v>
      </c>
      <c r="D332" s="192">
        <v>0</v>
      </c>
      <c r="E332" s="192">
        <f>'Realisasi Agustus'!H340</f>
        <v>0</v>
      </c>
      <c r="F332" s="192"/>
      <c r="G332" s="192">
        <f t="shared" si="126"/>
        <v>0</v>
      </c>
      <c r="H332" s="24" t="e">
        <f t="shared" si="125"/>
        <v>#DIV/0!</v>
      </c>
      <c r="I332" s="225"/>
      <c r="J332" s="175"/>
    </row>
    <row r="333" spans="1:10" s="176" customFormat="1" hidden="1" x14ac:dyDescent="0.25">
      <c r="A333" s="40"/>
      <c r="B333" s="44"/>
      <c r="C333" s="193" t="s">
        <v>200</v>
      </c>
      <c r="D333" s="192">
        <v>0</v>
      </c>
      <c r="E333" s="192">
        <f>'Realisasi Agustus'!H341</f>
        <v>0</v>
      </c>
      <c r="F333" s="192"/>
      <c r="G333" s="192">
        <f t="shared" si="126"/>
        <v>0</v>
      </c>
      <c r="H333" s="24" t="e">
        <f t="shared" si="125"/>
        <v>#DIV/0!</v>
      </c>
      <c r="I333" s="223"/>
      <c r="J333" s="175"/>
    </row>
    <row r="334" spans="1:10" s="176" customFormat="1" hidden="1" x14ac:dyDescent="0.25">
      <c r="A334" s="40"/>
      <c r="B334" s="44"/>
      <c r="C334" s="193" t="s">
        <v>201</v>
      </c>
      <c r="D334" s="192"/>
      <c r="E334" s="192">
        <f>'Realisasi Agustus'!H342</f>
        <v>0</v>
      </c>
      <c r="F334" s="192"/>
      <c r="G334" s="192">
        <f t="shared" si="126"/>
        <v>0</v>
      </c>
      <c r="H334" s="24" t="e">
        <f t="shared" si="125"/>
        <v>#DIV/0!</v>
      </c>
      <c r="I334" s="225"/>
      <c r="J334" s="175"/>
    </row>
    <row r="335" spans="1:10" s="176" customFormat="1" hidden="1" x14ac:dyDescent="0.25">
      <c r="A335" s="40"/>
      <c r="B335" s="190" t="s">
        <v>541</v>
      </c>
      <c r="C335" s="193" t="s">
        <v>390</v>
      </c>
      <c r="D335" s="192"/>
      <c r="E335" s="192">
        <f>'Realisasi Agustus'!H343</f>
        <v>0</v>
      </c>
      <c r="F335" s="192"/>
      <c r="G335" s="192">
        <f t="shared" si="126"/>
        <v>0</v>
      </c>
      <c r="H335" s="24" t="e">
        <f>G335/D335</f>
        <v>#DIV/0!</v>
      </c>
      <c r="I335" s="225" t="s">
        <v>470</v>
      </c>
      <c r="J335" s="175"/>
    </row>
    <row r="336" spans="1:10" s="176" customFormat="1" hidden="1" x14ac:dyDescent="0.25">
      <c r="A336" s="40"/>
      <c r="B336" s="44"/>
      <c r="C336" s="183"/>
      <c r="D336" s="192"/>
      <c r="E336" s="192"/>
      <c r="F336" s="192"/>
      <c r="G336" s="191"/>
      <c r="H336" s="24"/>
      <c r="I336" s="223"/>
      <c r="J336" s="175"/>
    </row>
    <row r="337" spans="1:10" s="176" customFormat="1" hidden="1" x14ac:dyDescent="0.25">
      <c r="A337" s="40"/>
      <c r="B337" s="43">
        <v>2</v>
      </c>
      <c r="C337" s="185" t="s">
        <v>202</v>
      </c>
      <c r="D337" s="191">
        <f>SUM(D338:D338)</f>
        <v>0</v>
      </c>
      <c r="E337" s="191"/>
      <c r="F337" s="191">
        <f t="shared" ref="F337:G337" si="127">SUM(F338:F338)</f>
        <v>0</v>
      </c>
      <c r="G337" s="191">
        <f t="shared" si="127"/>
        <v>0</v>
      </c>
      <c r="H337" s="236" t="e">
        <f t="shared" ref="H337:H348" si="128">G337/D337</f>
        <v>#DIV/0!</v>
      </c>
      <c r="I337" s="224"/>
      <c r="J337" s="175"/>
    </row>
    <row r="338" spans="1:10" s="176" customFormat="1" hidden="1" x14ac:dyDescent="0.25">
      <c r="A338" s="40"/>
      <c r="B338" s="190" t="s">
        <v>542</v>
      </c>
      <c r="C338" s="193" t="s">
        <v>391</v>
      </c>
      <c r="D338" s="192"/>
      <c r="E338" s="192"/>
      <c r="F338" s="192"/>
      <c r="G338" s="192">
        <f>E338+F338</f>
        <v>0</v>
      </c>
      <c r="H338" s="24" t="e">
        <f t="shared" si="128"/>
        <v>#DIV/0!</v>
      </c>
      <c r="I338" s="225" t="s">
        <v>470</v>
      </c>
      <c r="J338" s="175"/>
    </row>
    <row r="339" spans="1:10" s="176" customFormat="1" hidden="1" x14ac:dyDescent="0.25">
      <c r="A339" s="40"/>
      <c r="B339" s="43">
        <v>3</v>
      </c>
      <c r="C339" s="185" t="s">
        <v>203</v>
      </c>
      <c r="D339" s="191">
        <f>SUM(D340:D340)</f>
        <v>0</v>
      </c>
      <c r="E339" s="191"/>
      <c r="F339" s="191">
        <f t="shared" ref="F339:G339" si="129">SUM(F340:F340)</f>
        <v>0</v>
      </c>
      <c r="G339" s="191">
        <f t="shared" si="129"/>
        <v>0</v>
      </c>
      <c r="H339" s="236" t="e">
        <f t="shared" si="128"/>
        <v>#DIV/0!</v>
      </c>
      <c r="I339" s="224"/>
      <c r="J339" s="175"/>
    </row>
    <row r="340" spans="1:10" s="176" customFormat="1" hidden="1" x14ac:dyDescent="0.25">
      <c r="A340" s="40"/>
      <c r="B340" s="190" t="s">
        <v>543</v>
      </c>
      <c r="C340" s="193" t="s">
        <v>392</v>
      </c>
      <c r="D340" s="192"/>
      <c r="E340" s="192"/>
      <c r="F340" s="192"/>
      <c r="G340" s="192">
        <f>E340+F340</f>
        <v>0</v>
      </c>
      <c r="H340" s="24" t="e">
        <f t="shared" si="128"/>
        <v>#DIV/0!</v>
      </c>
      <c r="I340" s="225" t="s">
        <v>469</v>
      </c>
      <c r="J340" s="175"/>
    </row>
    <row r="341" spans="1:10" s="176" customFormat="1" hidden="1" x14ac:dyDescent="0.25">
      <c r="A341" s="40"/>
      <c r="B341" s="43">
        <v>4</v>
      </c>
      <c r="C341" s="185" t="s">
        <v>192</v>
      </c>
      <c r="D341" s="191">
        <f>SUM(D342)</f>
        <v>0</v>
      </c>
      <c r="E341" s="191"/>
      <c r="F341" s="191">
        <f t="shared" ref="F341:G341" si="130">SUM(F342)</f>
        <v>0</v>
      </c>
      <c r="G341" s="191">
        <f t="shared" si="130"/>
        <v>0</v>
      </c>
      <c r="H341" s="236" t="e">
        <f t="shared" si="128"/>
        <v>#DIV/0!</v>
      </c>
      <c r="I341" s="224"/>
      <c r="J341" s="175"/>
    </row>
    <row r="342" spans="1:10" s="176" customFormat="1" hidden="1" x14ac:dyDescent="0.25">
      <c r="A342" s="40"/>
      <c r="B342" s="190" t="s">
        <v>544</v>
      </c>
      <c r="C342" s="47" t="s">
        <v>393</v>
      </c>
      <c r="D342" s="192"/>
      <c r="E342" s="192"/>
      <c r="F342" s="192"/>
      <c r="G342" s="192">
        <f>E342+F342</f>
        <v>0</v>
      </c>
      <c r="H342" s="24" t="e">
        <f t="shared" si="128"/>
        <v>#DIV/0!</v>
      </c>
      <c r="I342" s="225" t="s">
        <v>469</v>
      </c>
      <c r="J342" s="175"/>
    </row>
    <row r="343" spans="1:10" s="176" customFormat="1" hidden="1" x14ac:dyDescent="0.25">
      <c r="A343" s="40"/>
      <c r="B343" s="43">
        <v>5</v>
      </c>
      <c r="C343" s="185" t="s">
        <v>204</v>
      </c>
      <c r="D343" s="191">
        <f>SUM(D344:D344)</f>
        <v>0</v>
      </c>
      <c r="E343" s="191"/>
      <c r="F343" s="191">
        <f t="shared" ref="F343:G343" si="131">SUM(F344:F344)</f>
        <v>0</v>
      </c>
      <c r="G343" s="191">
        <f t="shared" si="131"/>
        <v>0</v>
      </c>
      <c r="H343" s="236" t="e">
        <f t="shared" si="128"/>
        <v>#DIV/0!</v>
      </c>
      <c r="I343" s="223"/>
      <c r="J343" s="175"/>
    </row>
    <row r="344" spans="1:10" s="176" customFormat="1" hidden="1" x14ac:dyDescent="0.25">
      <c r="A344" s="40"/>
      <c r="B344" s="190" t="s">
        <v>545</v>
      </c>
      <c r="C344" s="47" t="s">
        <v>394</v>
      </c>
      <c r="D344" s="192"/>
      <c r="E344" s="192"/>
      <c r="F344" s="192"/>
      <c r="G344" s="192">
        <f>E344+F344</f>
        <v>0</v>
      </c>
      <c r="H344" s="24" t="e">
        <f t="shared" si="128"/>
        <v>#DIV/0!</v>
      </c>
      <c r="I344" s="225"/>
      <c r="J344" s="175"/>
    </row>
    <row r="345" spans="1:10" s="176" customFormat="1" hidden="1" x14ac:dyDescent="0.25">
      <c r="A345" s="40"/>
      <c r="B345" s="43">
        <v>6</v>
      </c>
      <c r="C345" s="185" t="s">
        <v>205</v>
      </c>
      <c r="D345" s="191">
        <f>SUM(D346:D346)</f>
        <v>0</v>
      </c>
      <c r="E345" s="191">
        <f t="shared" ref="E345:G345" si="132">SUM(E346:E346)</f>
        <v>0</v>
      </c>
      <c r="F345" s="191">
        <f t="shared" si="132"/>
        <v>0</v>
      </c>
      <c r="G345" s="191">
        <f t="shared" si="132"/>
        <v>0</v>
      </c>
      <c r="H345" s="253" t="e">
        <f t="shared" si="128"/>
        <v>#DIV/0!</v>
      </c>
      <c r="I345" s="223"/>
      <c r="J345" s="175"/>
    </row>
    <row r="346" spans="1:10" s="176" customFormat="1" hidden="1" x14ac:dyDescent="0.25">
      <c r="A346" s="40"/>
      <c r="B346" s="190" t="s">
        <v>376</v>
      </c>
      <c r="C346" s="48" t="s">
        <v>395</v>
      </c>
      <c r="D346" s="192">
        <v>0</v>
      </c>
      <c r="E346" s="192"/>
      <c r="F346" s="192"/>
      <c r="G346" s="192">
        <f>E346+F346</f>
        <v>0</v>
      </c>
      <c r="H346" s="252" t="e">
        <f t="shared" si="128"/>
        <v>#DIV/0!</v>
      </c>
      <c r="I346" s="225"/>
      <c r="J346" s="175"/>
    </row>
    <row r="347" spans="1:10" s="176" customFormat="1" hidden="1" x14ac:dyDescent="0.25">
      <c r="A347" s="40"/>
      <c r="B347" s="46">
        <v>7</v>
      </c>
      <c r="C347" s="170" t="s">
        <v>206</v>
      </c>
      <c r="D347" s="191">
        <f>D348</f>
        <v>0</v>
      </c>
      <c r="E347" s="191"/>
      <c r="F347" s="191">
        <f t="shared" ref="F347:G347" si="133">F348</f>
        <v>0</v>
      </c>
      <c r="G347" s="191">
        <f t="shared" si="133"/>
        <v>0</v>
      </c>
      <c r="H347" s="236" t="e">
        <f t="shared" si="128"/>
        <v>#DIV/0!</v>
      </c>
      <c r="I347" s="225"/>
      <c r="J347" s="175"/>
    </row>
    <row r="348" spans="1:10" s="176" customFormat="1" hidden="1" x14ac:dyDescent="0.25">
      <c r="A348" s="40"/>
      <c r="B348" s="190" t="s">
        <v>546</v>
      </c>
      <c r="C348" s="48" t="s">
        <v>207</v>
      </c>
      <c r="D348" s="192"/>
      <c r="E348" s="192"/>
      <c r="F348" s="192"/>
      <c r="G348" s="192">
        <f>E348+F348</f>
        <v>0</v>
      </c>
      <c r="H348" s="24" t="e">
        <f t="shared" si="128"/>
        <v>#DIV/0!</v>
      </c>
      <c r="I348" s="225" t="s">
        <v>469</v>
      </c>
      <c r="J348" s="175"/>
    </row>
    <row r="349" spans="1:10" s="176" customFormat="1" hidden="1" x14ac:dyDescent="0.25">
      <c r="A349" s="40"/>
      <c r="B349" s="46"/>
      <c r="C349" s="49"/>
      <c r="D349" s="50"/>
      <c r="E349" s="50"/>
      <c r="F349" s="50"/>
      <c r="G349" s="191"/>
      <c r="H349" s="236"/>
      <c r="I349" s="223"/>
      <c r="J349" s="175"/>
    </row>
    <row r="350" spans="1:10" s="176" customFormat="1" ht="36.75" hidden="1" customHeight="1" x14ac:dyDescent="0.25">
      <c r="A350" s="293"/>
      <c r="B350" s="262" t="s">
        <v>415</v>
      </c>
      <c r="C350" s="41" t="s">
        <v>208</v>
      </c>
      <c r="D350" s="42">
        <f>SUM(D351+D353+D355+D358+D360+D362)</f>
        <v>0</v>
      </c>
      <c r="E350" s="42"/>
      <c r="F350" s="42">
        <f>SUM(F351+F353+F355+F358+F360+F362)</f>
        <v>0</v>
      </c>
      <c r="G350" s="42">
        <f t="shared" ref="G350:G363" si="134">F350-D350</f>
        <v>0</v>
      </c>
      <c r="H350" s="237"/>
      <c r="I350" s="226"/>
      <c r="J350" s="175"/>
    </row>
    <row r="351" spans="1:10" s="176" customFormat="1" hidden="1" x14ac:dyDescent="0.25">
      <c r="A351" s="40"/>
      <c r="B351" s="51">
        <v>1</v>
      </c>
      <c r="C351" s="35" t="s">
        <v>209</v>
      </c>
      <c r="D351" s="191">
        <f>SUM(D352:D352)</f>
        <v>0</v>
      </c>
      <c r="E351" s="191"/>
      <c r="F351" s="191">
        <f>SUM(F352:F352)</f>
        <v>0</v>
      </c>
      <c r="G351" s="191">
        <f t="shared" si="134"/>
        <v>0</v>
      </c>
      <c r="H351" s="236"/>
      <c r="I351" s="224"/>
      <c r="J351" s="175"/>
    </row>
    <row r="352" spans="1:10" s="176" customFormat="1" hidden="1" x14ac:dyDescent="0.25">
      <c r="A352" s="40"/>
      <c r="B352" s="190" t="s">
        <v>380</v>
      </c>
      <c r="C352" s="193" t="s">
        <v>210</v>
      </c>
      <c r="D352" s="192">
        <v>0</v>
      </c>
      <c r="E352" s="192"/>
      <c r="F352" s="192">
        <v>0</v>
      </c>
      <c r="G352" s="192">
        <f t="shared" si="134"/>
        <v>0</v>
      </c>
      <c r="H352" s="24"/>
      <c r="I352" s="225"/>
      <c r="J352" s="175"/>
    </row>
    <row r="353" spans="1:10" s="176" customFormat="1" hidden="1" x14ac:dyDescent="0.25">
      <c r="A353" s="40"/>
      <c r="B353" s="51">
        <v>2</v>
      </c>
      <c r="C353" s="35" t="s">
        <v>211</v>
      </c>
      <c r="D353" s="191">
        <f>SUM(D354)</f>
        <v>0</v>
      </c>
      <c r="E353" s="191"/>
      <c r="F353" s="191">
        <f>SUM(F354)</f>
        <v>0</v>
      </c>
      <c r="G353" s="191">
        <f t="shared" si="134"/>
        <v>0</v>
      </c>
      <c r="H353" s="236"/>
      <c r="I353" s="224"/>
      <c r="J353" s="175"/>
    </row>
    <row r="354" spans="1:10" s="176" customFormat="1" hidden="1" x14ac:dyDescent="0.25">
      <c r="A354" s="40"/>
      <c r="B354" s="190" t="s">
        <v>383</v>
      </c>
      <c r="C354" s="193" t="s">
        <v>194</v>
      </c>
      <c r="D354" s="192">
        <v>0</v>
      </c>
      <c r="E354" s="192"/>
      <c r="F354" s="192">
        <v>0</v>
      </c>
      <c r="G354" s="192">
        <f t="shared" si="134"/>
        <v>0</v>
      </c>
      <c r="H354" s="24"/>
      <c r="I354" s="225"/>
      <c r="J354" s="175"/>
    </row>
    <row r="355" spans="1:10" s="176" customFormat="1" hidden="1" x14ac:dyDescent="0.25">
      <c r="A355" s="40"/>
      <c r="B355" s="51">
        <v>3</v>
      </c>
      <c r="C355" s="185" t="s">
        <v>172</v>
      </c>
      <c r="D355" s="191">
        <f>SUM(D356:D357)</f>
        <v>0</v>
      </c>
      <c r="E355" s="191"/>
      <c r="F355" s="191">
        <f>SUM(F356:F357)</f>
        <v>0</v>
      </c>
      <c r="G355" s="191">
        <f t="shared" si="134"/>
        <v>0</v>
      </c>
      <c r="H355" s="236"/>
      <c r="I355" s="224"/>
      <c r="J355" s="175"/>
    </row>
    <row r="356" spans="1:10" s="176" customFormat="1" hidden="1" x14ac:dyDescent="0.25">
      <c r="A356" s="40"/>
      <c r="B356" s="190" t="s">
        <v>377</v>
      </c>
      <c r="C356" s="193" t="s">
        <v>174</v>
      </c>
      <c r="D356" s="192"/>
      <c r="E356" s="192"/>
      <c r="F356" s="192"/>
      <c r="G356" s="192">
        <f t="shared" si="134"/>
        <v>0</v>
      </c>
      <c r="H356" s="24"/>
      <c r="I356" s="225"/>
      <c r="J356" s="175"/>
    </row>
    <row r="357" spans="1:10" s="176" customFormat="1" hidden="1" x14ac:dyDescent="0.25">
      <c r="A357" s="40"/>
      <c r="B357" s="190" t="s">
        <v>378</v>
      </c>
      <c r="C357" s="193" t="s">
        <v>175</v>
      </c>
      <c r="D357" s="192"/>
      <c r="E357" s="192"/>
      <c r="F357" s="192"/>
      <c r="G357" s="192">
        <f t="shared" si="134"/>
        <v>0</v>
      </c>
      <c r="H357" s="24"/>
      <c r="I357" s="225"/>
      <c r="J357" s="175"/>
    </row>
    <row r="358" spans="1:10" s="176" customFormat="1" hidden="1" x14ac:dyDescent="0.25">
      <c r="A358" s="40"/>
      <c r="B358" s="51">
        <v>4</v>
      </c>
      <c r="C358" s="35" t="s">
        <v>212</v>
      </c>
      <c r="D358" s="191">
        <f>D359</f>
        <v>0</v>
      </c>
      <c r="E358" s="191"/>
      <c r="F358" s="191">
        <f>F359</f>
        <v>0</v>
      </c>
      <c r="G358" s="191">
        <f t="shared" si="134"/>
        <v>0</v>
      </c>
      <c r="H358" s="236"/>
      <c r="I358" s="225"/>
      <c r="J358" s="175"/>
    </row>
    <row r="359" spans="1:10" s="176" customFormat="1" hidden="1" x14ac:dyDescent="0.25">
      <c r="A359" s="40"/>
      <c r="B359" s="190" t="s">
        <v>381</v>
      </c>
      <c r="C359" s="193" t="s">
        <v>189</v>
      </c>
      <c r="D359" s="191">
        <v>0</v>
      </c>
      <c r="E359" s="191"/>
      <c r="F359" s="191">
        <v>0</v>
      </c>
      <c r="G359" s="192">
        <f t="shared" si="134"/>
        <v>0</v>
      </c>
      <c r="H359" s="236"/>
      <c r="I359" s="225"/>
      <c r="J359" s="175"/>
    </row>
    <row r="360" spans="1:10" s="176" customFormat="1" hidden="1" x14ac:dyDescent="0.25">
      <c r="A360" s="40"/>
      <c r="B360" s="51">
        <v>5</v>
      </c>
      <c r="C360" s="35" t="s">
        <v>213</v>
      </c>
      <c r="D360" s="191">
        <f>SUM(D361:D361)</f>
        <v>0</v>
      </c>
      <c r="E360" s="191"/>
      <c r="F360" s="191">
        <f>SUM(F361:F361)</f>
        <v>0</v>
      </c>
      <c r="G360" s="191">
        <f t="shared" si="134"/>
        <v>0</v>
      </c>
      <c r="H360" s="236"/>
      <c r="I360" s="224"/>
      <c r="J360" s="175"/>
    </row>
    <row r="361" spans="1:10" s="176" customFormat="1" hidden="1" x14ac:dyDescent="0.25">
      <c r="A361" s="40"/>
      <c r="B361" s="190" t="s">
        <v>382</v>
      </c>
      <c r="C361" s="193" t="s">
        <v>187</v>
      </c>
      <c r="D361" s="192">
        <v>0</v>
      </c>
      <c r="E361" s="192"/>
      <c r="F361" s="192">
        <v>0</v>
      </c>
      <c r="G361" s="192">
        <f t="shared" si="134"/>
        <v>0</v>
      </c>
      <c r="H361" s="24"/>
      <c r="I361" s="225"/>
      <c r="J361" s="175"/>
    </row>
    <row r="362" spans="1:10" s="176" customFormat="1" hidden="1" x14ac:dyDescent="0.25">
      <c r="A362" s="40"/>
      <c r="B362" s="51">
        <v>6</v>
      </c>
      <c r="C362" s="35" t="s">
        <v>214</v>
      </c>
      <c r="D362" s="191">
        <f>SUM(D363:D363)</f>
        <v>0</v>
      </c>
      <c r="E362" s="191"/>
      <c r="F362" s="191">
        <f>SUM(F363:F363)</f>
        <v>0</v>
      </c>
      <c r="G362" s="191">
        <f t="shared" si="134"/>
        <v>0</v>
      </c>
      <c r="H362" s="236"/>
      <c r="I362" s="224"/>
      <c r="J362" s="175"/>
    </row>
    <row r="363" spans="1:10" s="176" customFormat="1" hidden="1" x14ac:dyDescent="0.25">
      <c r="A363" s="40"/>
      <c r="B363" s="190" t="s">
        <v>379</v>
      </c>
      <c r="C363" s="193" t="s">
        <v>215</v>
      </c>
      <c r="D363" s="192"/>
      <c r="E363" s="192"/>
      <c r="F363" s="192"/>
      <c r="G363" s="192">
        <f t="shared" si="134"/>
        <v>0</v>
      </c>
      <c r="H363" s="24"/>
      <c r="I363" s="225"/>
      <c r="J363" s="175"/>
    </row>
    <row r="364" spans="1:10" s="176" customFormat="1" x14ac:dyDescent="0.25">
      <c r="A364" s="40"/>
      <c r="B364" s="178"/>
      <c r="C364" s="183"/>
      <c r="D364" s="192"/>
      <c r="E364" s="192"/>
      <c r="F364" s="192"/>
      <c r="G364" s="191"/>
      <c r="H364" s="236"/>
      <c r="I364" s="224"/>
      <c r="J364" s="175"/>
    </row>
    <row r="365" spans="1:10" s="176" customFormat="1" ht="25.5" customHeight="1" x14ac:dyDescent="0.25">
      <c r="A365" s="138" t="s">
        <v>235</v>
      </c>
      <c r="B365" s="139" t="s">
        <v>384</v>
      </c>
      <c r="C365" s="140" t="s">
        <v>385</v>
      </c>
      <c r="D365" s="141">
        <f>SUM(D367+D369+M372+D372+D375+D378+D381+D384+D392+D395+D398+D401+D404+D407)</f>
        <v>119754141780</v>
      </c>
      <c r="E365" s="141">
        <f t="shared" ref="E365:G365" si="135">SUM(E367+E369+N372+E372+E375+E378+E381+E384+E392+E395+E398+E401+E404+E407)</f>
        <v>47018813067</v>
      </c>
      <c r="F365" s="141">
        <f t="shared" si="135"/>
        <v>309450000</v>
      </c>
      <c r="G365" s="141">
        <f t="shared" si="135"/>
        <v>47328263067</v>
      </c>
      <c r="H365" s="240">
        <f>G365/D365</f>
        <v>0.39521190969700754</v>
      </c>
      <c r="I365" s="225" t="s">
        <v>216</v>
      </c>
      <c r="J365" s="175"/>
    </row>
    <row r="366" spans="1:10" s="176" customFormat="1" ht="21" customHeight="1" x14ac:dyDescent="0.25">
      <c r="A366" s="40"/>
      <c r="B366" s="167" t="s">
        <v>19</v>
      </c>
      <c r="C366" s="185" t="s">
        <v>635</v>
      </c>
      <c r="D366" s="191">
        <f>D367</f>
        <v>50738030000</v>
      </c>
      <c r="E366" s="191">
        <f t="shared" ref="E366:G366" si="136">E367</f>
        <v>0</v>
      </c>
      <c r="F366" s="191">
        <f t="shared" si="136"/>
        <v>0</v>
      </c>
      <c r="G366" s="191">
        <f t="shared" si="136"/>
        <v>0</v>
      </c>
      <c r="H366" s="236">
        <f>G366/D366</f>
        <v>0</v>
      </c>
      <c r="I366" s="225" t="s">
        <v>218</v>
      </c>
      <c r="J366" s="175"/>
    </row>
    <row r="367" spans="1:10" s="176" customFormat="1" ht="21" customHeight="1" x14ac:dyDescent="0.25">
      <c r="A367" s="40"/>
      <c r="B367" s="190" t="s">
        <v>634</v>
      </c>
      <c r="C367" s="183" t="s">
        <v>636</v>
      </c>
      <c r="D367" s="192">
        <v>50738030000</v>
      </c>
      <c r="E367" s="192">
        <f>'Realisasi Okt'!G367</f>
        <v>0</v>
      </c>
      <c r="F367" s="192"/>
      <c r="G367" s="192">
        <f>E367+F367</f>
        <v>0</v>
      </c>
      <c r="H367" s="24">
        <f>G367/D367</f>
        <v>0</v>
      </c>
      <c r="I367" s="225"/>
      <c r="J367" s="175"/>
    </row>
    <row r="368" spans="1:10" s="176" customFormat="1" ht="25.5" customHeight="1" x14ac:dyDescent="0.25">
      <c r="A368" s="169"/>
      <c r="B368" s="189"/>
      <c r="C368" s="185"/>
      <c r="D368" s="191"/>
      <c r="E368" s="192"/>
      <c r="F368" s="191"/>
      <c r="G368" s="191"/>
      <c r="H368" s="236"/>
      <c r="I368" s="225"/>
      <c r="J368" s="175"/>
    </row>
    <row r="369" spans="1:10" s="176" customFormat="1" ht="21" customHeight="1" x14ac:dyDescent="0.25">
      <c r="A369" s="40"/>
      <c r="B369" s="167" t="s">
        <v>39</v>
      </c>
      <c r="C369" s="185" t="s">
        <v>638</v>
      </c>
      <c r="D369" s="191">
        <f>D370</f>
        <v>1125000000</v>
      </c>
      <c r="E369" s="191">
        <f t="shared" ref="E369:G369" si="137">E370</f>
        <v>0</v>
      </c>
      <c r="F369" s="191">
        <f t="shared" si="137"/>
        <v>0</v>
      </c>
      <c r="G369" s="191">
        <f t="shared" si="137"/>
        <v>0</v>
      </c>
      <c r="H369" s="236">
        <f>G369/D369</f>
        <v>0</v>
      </c>
      <c r="I369" s="225" t="s">
        <v>218</v>
      </c>
      <c r="J369" s="175"/>
    </row>
    <row r="370" spans="1:10" s="176" customFormat="1" ht="21" customHeight="1" x14ac:dyDescent="0.25">
      <c r="A370" s="40"/>
      <c r="B370" s="190" t="s">
        <v>637</v>
      </c>
      <c r="C370" s="183" t="s">
        <v>639</v>
      </c>
      <c r="D370" s="192">
        <v>1125000000</v>
      </c>
      <c r="E370" s="192">
        <f>'Realisasi Sept'!G370</f>
        <v>0</v>
      </c>
      <c r="F370" s="192"/>
      <c r="G370" s="192">
        <f>E370+F370</f>
        <v>0</v>
      </c>
      <c r="H370" s="24">
        <f>G370/D370</f>
        <v>0</v>
      </c>
      <c r="I370" s="225"/>
      <c r="J370" s="175"/>
    </row>
    <row r="371" spans="1:10" s="176" customFormat="1" ht="21" customHeight="1" x14ac:dyDescent="0.25">
      <c r="A371" s="40"/>
      <c r="B371" s="190"/>
      <c r="C371" s="183"/>
      <c r="D371" s="192"/>
      <c r="E371" s="192"/>
      <c r="F371" s="192"/>
      <c r="G371" s="192"/>
      <c r="H371" s="24"/>
      <c r="I371" s="225"/>
      <c r="J371" s="175"/>
    </row>
    <row r="372" spans="1:10" s="176" customFormat="1" ht="21" customHeight="1" x14ac:dyDescent="0.25">
      <c r="A372" s="40"/>
      <c r="B372" s="167" t="s">
        <v>19</v>
      </c>
      <c r="C372" s="185" t="s">
        <v>217</v>
      </c>
      <c r="D372" s="191">
        <f>D373</f>
        <v>2661700000</v>
      </c>
      <c r="E372" s="191">
        <f t="shared" ref="E372:G372" si="138">E373</f>
        <v>0</v>
      </c>
      <c r="F372" s="191">
        <f t="shared" si="138"/>
        <v>0</v>
      </c>
      <c r="G372" s="191">
        <f t="shared" si="138"/>
        <v>0</v>
      </c>
      <c r="H372" s="236">
        <f>G372/D372</f>
        <v>0</v>
      </c>
      <c r="I372" s="225" t="s">
        <v>218</v>
      </c>
      <c r="J372" s="175"/>
    </row>
    <row r="373" spans="1:10" s="176" customFormat="1" ht="21" customHeight="1" x14ac:dyDescent="0.25">
      <c r="A373" s="40"/>
      <c r="B373" s="190" t="s">
        <v>547</v>
      </c>
      <c r="C373" s="183" t="s">
        <v>217</v>
      </c>
      <c r="D373" s="192">
        <v>2661700000</v>
      </c>
      <c r="E373" s="192">
        <f>'Realisasi Okt'!G373</f>
        <v>0</v>
      </c>
      <c r="F373" s="192"/>
      <c r="G373" s="192">
        <f>E373+F373</f>
        <v>0</v>
      </c>
      <c r="H373" s="24">
        <f>G373/D373</f>
        <v>0</v>
      </c>
      <c r="I373" s="225"/>
      <c r="J373" s="175"/>
    </row>
    <row r="374" spans="1:10" s="176" customFormat="1" ht="21" customHeight="1" x14ac:dyDescent="0.25">
      <c r="A374" s="40"/>
      <c r="B374" s="190"/>
      <c r="C374" s="183"/>
      <c r="D374" s="192"/>
      <c r="E374" s="192"/>
      <c r="F374" s="192"/>
      <c r="G374" s="192"/>
      <c r="H374" s="236"/>
      <c r="I374" s="225"/>
      <c r="J374" s="175"/>
    </row>
    <row r="375" spans="1:10" s="176" customFormat="1" ht="21" customHeight="1" x14ac:dyDescent="0.25">
      <c r="A375" s="40"/>
      <c r="B375" s="167" t="s">
        <v>39</v>
      </c>
      <c r="C375" s="185" t="s">
        <v>219</v>
      </c>
      <c r="D375" s="191">
        <f>D376</f>
        <v>747200000</v>
      </c>
      <c r="E375" s="191">
        <f t="shared" ref="E375:G375" si="139">E376</f>
        <v>0</v>
      </c>
      <c r="F375" s="191">
        <f t="shared" si="139"/>
        <v>0</v>
      </c>
      <c r="G375" s="191">
        <f t="shared" si="139"/>
        <v>0</v>
      </c>
      <c r="H375" s="236">
        <f>G375/D375</f>
        <v>0</v>
      </c>
      <c r="I375" s="225" t="s">
        <v>218</v>
      </c>
      <c r="J375" s="175"/>
    </row>
    <row r="376" spans="1:10" s="176" customFormat="1" ht="21" customHeight="1" x14ac:dyDescent="0.25">
      <c r="A376" s="40"/>
      <c r="B376" s="190" t="s">
        <v>548</v>
      </c>
      <c r="C376" s="183" t="s">
        <v>219</v>
      </c>
      <c r="D376" s="192">
        <v>747200000</v>
      </c>
      <c r="E376" s="192">
        <f>'Realisasi Okt'!G376</f>
        <v>0</v>
      </c>
      <c r="F376" s="192"/>
      <c r="G376" s="192">
        <f>E376+F376</f>
        <v>0</v>
      </c>
      <c r="H376" s="24">
        <f>G376/D376</f>
        <v>0</v>
      </c>
      <c r="I376" s="225"/>
      <c r="J376" s="175"/>
    </row>
    <row r="377" spans="1:10" s="176" customFormat="1" ht="21" customHeight="1" x14ac:dyDescent="0.25">
      <c r="A377" s="40"/>
      <c r="B377" s="190"/>
      <c r="C377" s="183"/>
      <c r="D377" s="191"/>
      <c r="E377" s="192"/>
      <c r="F377" s="191"/>
      <c r="G377" s="192"/>
      <c r="H377" s="236"/>
      <c r="I377" s="225"/>
      <c r="J377" s="175"/>
    </row>
    <row r="378" spans="1:10" s="176" customFormat="1" x14ac:dyDescent="0.25">
      <c r="A378" s="40"/>
      <c r="B378" s="167" t="s">
        <v>46</v>
      </c>
      <c r="C378" s="35" t="s">
        <v>220</v>
      </c>
      <c r="D378" s="191">
        <f>SUM(D379)</f>
        <v>53724109000</v>
      </c>
      <c r="E378" s="191">
        <f t="shared" ref="E378:G378" si="140">SUM(E379)</f>
        <v>42979287000</v>
      </c>
      <c r="F378" s="191">
        <f t="shared" si="140"/>
        <v>0</v>
      </c>
      <c r="G378" s="191">
        <f t="shared" si="140"/>
        <v>42979287000</v>
      </c>
      <c r="H378" s="236">
        <f>G378/D378</f>
        <v>0.79999999627727658</v>
      </c>
      <c r="I378" s="223"/>
      <c r="J378" s="175"/>
    </row>
    <row r="379" spans="1:10" s="176" customFormat="1" x14ac:dyDescent="0.25">
      <c r="A379" s="40"/>
      <c r="B379" s="190" t="s">
        <v>549</v>
      </c>
      <c r="C379" s="193" t="s">
        <v>220</v>
      </c>
      <c r="D379" s="181">
        <v>53724109000</v>
      </c>
      <c r="E379" s="192">
        <f>'Realisasi Okt'!G379</f>
        <v>42979287000</v>
      </c>
      <c r="F379" s="192"/>
      <c r="G379" s="192">
        <f>E379+F379</f>
        <v>42979287000</v>
      </c>
      <c r="H379" s="24">
        <f>G379/D379</f>
        <v>0.79999999627727658</v>
      </c>
      <c r="I379" s="225" t="s">
        <v>218</v>
      </c>
      <c r="J379" s="175"/>
    </row>
    <row r="380" spans="1:10" s="176" customFormat="1" x14ac:dyDescent="0.25">
      <c r="A380" s="40"/>
      <c r="B380" s="190"/>
      <c r="C380" s="193"/>
      <c r="D380" s="181"/>
      <c r="E380" s="192"/>
      <c r="F380" s="192"/>
      <c r="G380" s="192"/>
      <c r="H380" s="24"/>
      <c r="I380" s="225"/>
      <c r="J380" s="175"/>
    </row>
    <row r="381" spans="1:10" s="176" customFormat="1" x14ac:dyDescent="0.25">
      <c r="A381" s="40"/>
      <c r="B381" s="167" t="s">
        <v>8</v>
      </c>
      <c r="C381" s="35" t="s">
        <v>221</v>
      </c>
      <c r="D381" s="196">
        <f>SUM(D382)</f>
        <v>2271000000</v>
      </c>
      <c r="E381" s="191">
        <f t="shared" ref="E381:G381" si="141">SUM(E382)</f>
        <v>1249050000</v>
      </c>
      <c r="F381" s="191">
        <f t="shared" si="141"/>
        <v>309450000</v>
      </c>
      <c r="G381" s="191">
        <f t="shared" si="141"/>
        <v>1558500000</v>
      </c>
      <c r="H381" s="236">
        <f>G381/D381</f>
        <v>0.68626155878467632</v>
      </c>
      <c r="I381" s="223"/>
      <c r="J381" s="175"/>
    </row>
    <row r="382" spans="1:10" s="176" customFormat="1" x14ac:dyDescent="0.25">
      <c r="A382" s="40"/>
      <c r="B382" s="190" t="s">
        <v>550</v>
      </c>
      <c r="C382" s="193" t="s">
        <v>221</v>
      </c>
      <c r="D382" s="181">
        <v>2271000000</v>
      </c>
      <c r="E382" s="192">
        <f>'Realisasi Okt'!G382</f>
        <v>1249050000</v>
      </c>
      <c r="F382" s="192">
        <v>309450000</v>
      </c>
      <c r="G382" s="192">
        <f>E382+F382</f>
        <v>1558500000</v>
      </c>
      <c r="H382" s="24">
        <f>G382/D382</f>
        <v>0.68626155878467632</v>
      </c>
      <c r="I382" s="225" t="s">
        <v>218</v>
      </c>
      <c r="J382" s="175"/>
    </row>
    <row r="383" spans="1:10" s="176" customFormat="1" x14ac:dyDescent="0.25">
      <c r="A383" s="40"/>
      <c r="B383" s="190"/>
      <c r="C383" s="193"/>
      <c r="D383" s="192"/>
      <c r="E383" s="192"/>
      <c r="F383" s="192"/>
      <c r="G383" s="192"/>
      <c r="H383" s="24"/>
      <c r="I383" s="225"/>
      <c r="J383" s="175"/>
    </row>
    <row r="384" spans="1:10" s="176" customFormat="1" x14ac:dyDescent="0.25">
      <c r="A384" s="40"/>
      <c r="B384" s="167" t="s">
        <v>49</v>
      </c>
      <c r="C384" s="35" t="s">
        <v>222</v>
      </c>
      <c r="D384" s="191">
        <f>SUM(D385:D390)</f>
        <v>7190684820</v>
      </c>
      <c r="E384" s="191">
        <f t="shared" ref="E384:G384" si="142">SUM(E385:E390)</f>
        <v>2361210007</v>
      </c>
      <c r="F384" s="191">
        <f t="shared" si="142"/>
        <v>0</v>
      </c>
      <c r="G384" s="191">
        <f t="shared" si="142"/>
        <v>2361210007</v>
      </c>
      <c r="H384" s="236">
        <f>G384/D384</f>
        <v>0.32837067207181525</v>
      </c>
      <c r="I384" s="227"/>
      <c r="J384" s="175"/>
    </row>
    <row r="385" spans="1:10" s="176" customFormat="1" x14ac:dyDescent="0.25">
      <c r="A385" s="40"/>
      <c r="B385" s="190" t="s">
        <v>551</v>
      </c>
      <c r="C385" s="193" t="s">
        <v>223</v>
      </c>
      <c r="D385" s="192">
        <v>3898007720</v>
      </c>
      <c r="E385" s="192">
        <f>'Realisasi Okt'!G385</f>
        <v>1554209607</v>
      </c>
      <c r="F385" s="192"/>
      <c r="G385" s="192">
        <f>E385+F385</f>
        <v>1554209607</v>
      </c>
      <c r="H385" s="24">
        <f>G385/D385</f>
        <v>0.39871896585161204</v>
      </c>
      <c r="I385" s="225" t="s">
        <v>218</v>
      </c>
      <c r="J385" s="175"/>
    </row>
    <row r="386" spans="1:10" s="176" customFormat="1" x14ac:dyDescent="0.25">
      <c r="A386" s="40"/>
      <c r="B386" s="190" t="s">
        <v>552</v>
      </c>
      <c r="C386" s="193" t="s">
        <v>227</v>
      </c>
      <c r="D386" s="192">
        <v>459094000</v>
      </c>
      <c r="E386" s="192">
        <f>'Realisasi Okt'!G386</f>
        <v>0</v>
      </c>
      <c r="F386" s="192"/>
      <c r="G386" s="192">
        <f t="shared" ref="G386:G393" si="143">E386+F386</f>
        <v>0</v>
      </c>
      <c r="H386" s="24">
        <f>G386/D386</f>
        <v>0</v>
      </c>
      <c r="I386" s="225" t="s">
        <v>216</v>
      </c>
      <c r="J386" s="175"/>
    </row>
    <row r="387" spans="1:10" s="176" customFormat="1" x14ac:dyDescent="0.25">
      <c r="A387" s="40"/>
      <c r="B387" s="190" t="s">
        <v>553</v>
      </c>
      <c r="C387" s="193" t="s">
        <v>224</v>
      </c>
      <c r="D387" s="192">
        <v>586357000</v>
      </c>
      <c r="E387" s="192">
        <f>'Realisasi Okt'!G387</f>
        <v>0</v>
      </c>
      <c r="F387" s="192"/>
      <c r="G387" s="192">
        <f t="shared" si="143"/>
        <v>0</v>
      </c>
      <c r="H387" s="24">
        <f>G387/D387</f>
        <v>0</v>
      </c>
      <c r="I387" s="225" t="s">
        <v>218</v>
      </c>
      <c r="J387" s="175"/>
    </row>
    <row r="388" spans="1:10" s="176" customFormat="1" ht="18" hidden="1" customHeight="1" x14ac:dyDescent="0.25">
      <c r="A388" s="40"/>
      <c r="B388" s="52"/>
      <c r="C388" s="193" t="s">
        <v>225</v>
      </c>
      <c r="D388" s="192"/>
      <c r="E388" s="192">
        <f>'Realisasi Okt'!G388</f>
        <v>0</v>
      </c>
      <c r="F388" s="192"/>
      <c r="G388" s="192">
        <f t="shared" si="143"/>
        <v>0</v>
      </c>
      <c r="H388" s="24">
        <v>0</v>
      </c>
      <c r="I388" s="223"/>
      <c r="J388" s="175"/>
    </row>
    <row r="389" spans="1:10" s="176" customFormat="1" x14ac:dyDescent="0.25">
      <c r="A389" s="40"/>
      <c r="B389" s="190" t="s">
        <v>554</v>
      </c>
      <c r="C389" s="193" t="s">
        <v>226</v>
      </c>
      <c r="D389" s="192">
        <v>113748200</v>
      </c>
      <c r="E389" s="192">
        <f>'Realisasi Okt'!G389</f>
        <v>0</v>
      </c>
      <c r="F389" s="192"/>
      <c r="G389" s="192">
        <f t="shared" si="143"/>
        <v>0</v>
      </c>
      <c r="H389" s="24">
        <f>G389/D389</f>
        <v>0</v>
      </c>
      <c r="I389" s="225" t="s">
        <v>216</v>
      </c>
      <c r="J389" s="175"/>
    </row>
    <row r="390" spans="1:10" s="176" customFormat="1" x14ac:dyDescent="0.25">
      <c r="A390" s="40"/>
      <c r="B390" s="190" t="s">
        <v>386</v>
      </c>
      <c r="C390" s="193" t="s">
        <v>228</v>
      </c>
      <c r="D390" s="192">
        <v>2133477900</v>
      </c>
      <c r="E390" s="192">
        <f>'Realisasi Okt'!G390</f>
        <v>807000400</v>
      </c>
      <c r="F390" s="192"/>
      <c r="G390" s="192">
        <f t="shared" si="143"/>
        <v>807000400</v>
      </c>
      <c r="H390" s="24">
        <f>G390/D390</f>
        <v>0.37825580475898063</v>
      </c>
      <c r="I390" s="225" t="s">
        <v>216</v>
      </c>
      <c r="J390" s="175"/>
    </row>
    <row r="391" spans="1:10" s="176" customFormat="1" x14ac:dyDescent="0.25">
      <c r="A391" s="40"/>
      <c r="B391" s="190"/>
      <c r="C391" s="193"/>
      <c r="D391" s="192"/>
      <c r="E391" s="192"/>
      <c r="F391" s="192"/>
      <c r="G391" s="192">
        <f t="shared" si="143"/>
        <v>0</v>
      </c>
      <c r="H391" s="24"/>
      <c r="I391" s="225"/>
      <c r="J391" s="175"/>
    </row>
    <row r="392" spans="1:10" s="176" customFormat="1" x14ac:dyDescent="0.25">
      <c r="A392" s="40"/>
      <c r="B392" s="167" t="s">
        <v>53</v>
      </c>
      <c r="C392" s="35" t="s">
        <v>229</v>
      </c>
      <c r="D392" s="191">
        <f>SUM(D393)</f>
        <v>0</v>
      </c>
      <c r="E392" s="192">
        <f>'Realisasi Sept'!G392</f>
        <v>0</v>
      </c>
      <c r="F392" s="191">
        <f>SUM(F393)</f>
        <v>0</v>
      </c>
      <c r="G392" s="192">
        <f t="shared" si="143"/>
        <v>0</v>
      </c>
      <c r="H392" s="253" t="e">
        <f>G392/D392</f>
        <v>#DIV/0!</v>
      </c>
      <c r="I392" s="223"/>
      <c r="J392" s="175"/>
    </row>
    <row r="393" spans="1:10" s="176" customFormat="1" x14ac:dyDescent="0.25">
      <c r="A393" s="40"/>
      <c r="B393" s="190" t="s">
        <v>387</v>
      </c>
      <c r="C393" s="193" t="s">
        <v>229</v>
      </c>
      <c r="D393" s="192">
        <v>0</v>
      </c>
      <c r="E393" s="192">
        <f>'Realisasi Sept'!G393</f>
        <v>0</v>
      </c>
      <c r="F393" s="192"/>
      <c r="G393" s="192">
        <f t="shared" si="143"/>
        <v>0</v>
      </c>
      <c r="H393" s="252" t="e">
        <f>G393/D393</f>
        <v>#DIV/0!</v>
      </c>
      <c r="I393" s="225" t="s">
        <v>216</v>
      </c>
      <c r="J393" s="175"/>
    </row>
    <row r="394" spans="1:10" s="176" customFormat="1" x14ac:dyDescent="0.25">
      <c r="A394" s="40"/>
      <c r="B394" s="190"/>
      <c r="C394" s="193"/>
      <c r="D394" s="192"/>
      <c r="E394" s="192"/>
      <c r="F394" s="192"/>
      <c r="G394" s="192"/>
      <c r="H394" s="24"/>
      <c r="I394" s="225"/>
      <c r="J394" s="175"/>
    </row>
    <row r="395" spans="1:10" s="176" customFormat="1" x14ac:dyDescent="0.25">
      <c r="A395" s="40"/>
      <c r="B395" s="167" t="s">
        <v>62</v>
      </c>
      <c r="C395" s="35" t="s">
        <v>230</v>
      </c>
      <c r="D395" s="191">
        <f>SUM(D396)</f>
        <v>0</v>
      </c>
      <c r="E395" s="192">
        <f>'Realisasi Sept'!G395</f>
        <v>0</v>
      </c>
      <c r="F395" s="191">
        <f t="shared" ref="F395:G395" si="144">SUM(F396)</f>
        <v>0</v>
      </c>
      <c r="G395" s="191">
        <f t="shared" si="144"/>
        <v>0</v>
      </c>
      <c r="H395" s="253" t="e">
        <f>G395/D395</f>
        <v>#DIV/0!</v>
      </c>
      <c r="I395" s="223"/>
      <c r="J395" s="175"/>
    </row>
    <row r="396" spans="1:10" s="176" customFormat="1" x14ac:dyDescent="0.25">
      <c r="A396" s="40"/>
      <c r="B396" s="190" t="s">
        <v>555</v>
      </c>
      <c r="C396" s="193" t="s">
        <v>230</v>
      </c>
      <c r="D396" s="192"/>
      <c r="E396" s="192">
        <f>'Realisasi Sept'!G396</f>
        <v>0</v>
      </c>
      <c r="F396" s="192"/>
      <c r="G396" s="192">
        <f>E396+F396</f>
        <v>0</v>
      </c>
      <c r="H396" s="252" t="e">
        <f>G396/D396</f>
        <v>#DIV/0!</v>
      </c>
      <c r="I396" s="225" t="s">
        <v>216</v>
      </c>
      <c r="J396" s="175"/>
    </row>
    <row r="397" spans="1:10" s="176" customFormat="1" x14ac:dyDescent="0.25">
      <c r="A397" s="40"/>
      <c r="B397" s="190"/>
      <c r="C397" s="193"/>
      <c r="D397" s="192"/>
      <c r="E397" s="192"/>
      <c r="F397" s="192"/>
      <c r="G397" s="192"/>
      <c r="H397" s="24"/>
      <c r="I397" s="225"/>
      <c r="J397" s="175"/>
    </row>
    <row r="398" spans="1:10" s="176" customFormat="1" x14ac:dyDescent="0.25">
      <c r="A398" s="40"/>
      <c r="B398" s="167" t="s">
        <v>66</v>
      </c>
      <c r="C398" s="35" t="s">
        <v>231</v>
      </c>
      <c r="D398" s="191">
        <f>SUM(D399)</f>
        <v>0</v>
      </c>
      <c r="E398" s="192">
        <f>'Realisasi Sept'!G398</f>
        <v>0</v>
      </c>
      <c r="F398" s="191">
        <f t="shared" ref="F398:G398" si="145">SUM(F399)</f>
        <v>0</v>
      </c>
      <c r="G398" s="191">
        <f t="shared" si="145"/>
        <v>0</v>
      </c>
      <c r="H398" s="253" t="e">
        <f>G398/D398</f>
        <v>#DIV/0!</v>
      </c>
      <c r="I398" s="223"/>
      <c r="J398" s="175"/>
    </row>
    <row r="399" spans="1:10" s="176" customFormat="1" x14ac:dyDescent="0.25">
      <c r="A399" s="40"/>
      <c r="B399" s="190" t="s">
        <v>556</v>
      </c>
      <c r="C399" s="193" t="s">
        <v>231</v>
      </c>
      <c r="D399" s="192"/>
      <c r="E399" s="192">
        <f>'Realisasi Sept'!G399</f>
        <v>0</v>
      </c>
      <c r="F399" s="192"/>
      <c r="G399" s="192">
        <f>E399+F399</f>
        <v>0</v>
      </c>
      <c r="H399" s="252" t="e">
        <f>G399/D399</f>
        <v>#DIV/0!</v>
      </c>
      <c r="I399" s="225" t="s">
        <v>216</v>
      </c>
      <c r="J399" s="175"/>
    </row>
    <row r="400" spans="1:10" s="176" customFormat="1" x14ac:dyDescent="0.25">
      <c r="A400" s="40"/>
      <c r="B400" s="190"/>
      <c r="C400" s="193"/>
      <c r="D400" s="192"/>
      <c r="E400" s="192"/>
      <c r="F400" s="192"/>
      <c r="G400" s="192"/>
      <c r="H400" s="24"/>
      <c r="I400" s="225"/>
      <c r="J400" s="175"/>
    </row>
    <row r="401" spans="1:14" s="176" customFormat="1" x14ac:dyDescent="0.25">
      <c r="A401" s="40"/>
      <c r="B401" s="167" t="s">
        <v>73</v>
      </c>
      <c r="C401" s="185" t="s">
        <v>232</v>
      </c>
      <c r="D401" s="191">
        <f>D402</f>
        <v>289414900</v>
      </c>
      <c r="E401" s="192">
        <f>'Realisasi Sept'!G401</f>
        <v>0</v>
      </c>
      <c r="F401" s="191">
        <f t="shared" ref="F401:G401" si="146">F402</f>
        <v>0</v>
      </c>
      <c r="G401" s="191">
        <f t="shared" si="146"/>
        <v>0</v>
      </c>
      <c r="H401" s="236">
        <f>G401/D401</f>
        <v>0</v>
      </c>
      <c r="I401" s="225"/>
      <c r="J401" s="175"/>
    </row>
    <row r="402" spans="1:14" s="176" customFormat="1" x14ac:dyDescent="0.25">
      <c r="A402" s="40"/>
      <c r="B402" s="190" t="s">
        <v>557</v>
      </c>
      <c r="C402" s="183" t="s">
        <v>232</v>
      </c>
      <c r="D402" s="192">
        <v>289414900</v>
      </c>
      <c r="E402" s="192">
        <f>'Realisasi Okt'!G402</f>
        <v>0</v>
      </c>
      <c r="F402" s="192"/>
      <c r="G402" s="192">
        <f>E402+F402</f>
        <v>0</v>
      </c>
      <c r="H402" s="24">
        <f>G402/D402</f>
        <v>0</v>
      </c>
      <c r="I402" s="225" t="s">
        <v>216</v>
      </c>
      <c r="J402" s="175"/>
    </row>
    <row r="403" spans="1:14" s="176" customFormat="1" x14ac:dyDescent="0.25">
      <c r="A403" s="40"/>
      <c r="B403" s="190"/>
      <c r="C403" s="183"/>
      <c r="D403" s="192"/>
      <c r="E403" s="192"/>
      <c r="F403" s="192"/>
      <c r="G403" s="192"/>
      <c r="H403" s="24"/>
      <c r="I403" s="225"/>
      <c r="J403" s="175"/>
    </row>
    <row r="404" spans="1:14" s="176" customFormat="1" x14ac:dyDescent="0.25">
      <c r="A404" s="40"/>
      <c r="B404" s="167" t="s">
        <v>74</v>
      </c>
      <c r="C404" s="185" t="s">
        <v>233</v>
      </c>
      <c r="D404" s="191">
        <f>D405</f>
        <v>254403060</v>
      </c>
      <c r="E404" s="191">
        <f t="shared" ref="E404:G404" si="147">E405</f>
        <v>52966060</v>
      </c>
      <c r="F404" s="191">
        <f t="shared" si="147"/>
        <v>0</v>
      </c>
      <c r="G404" s="191">
        <f t="shared" si="147"/>
        <v>52966060</v>
      </c>
      <c r="H404" s="236">
        <f>G404/D404</f>
        <v>0.20819741712226261</v>
      </c>
      <c r="I404" s="225"/>
      <c r="J404" s="175"/>
    </row>
    <row r="405" spans="1:14" s="176" customFormat="1" x14ac:dyDescent="0.25">
      <c r="A405" s="40"/>
      <c r="B405" s="190" t="s">
        <v>558</v>
      </c>
      <c r="C405" s="183" t="s">
        <v>233</v>
      </c>
      <c r="D405" s="192">
        <v>254403060</v>
      </c>
      <c r="E405" s="192">
        <f>'Realisasi Okt'!G405</f>
        <v>52966060</v>
      </c>
      <c r="F405" s="192"/>
      <c r="G405" s="192">
        <f>E405+F405</f>
        <v>52966060</v>
      </c>
      <c r="H405" s="24">
        <f>G405/D405</f>
        <v>0.20819741712226261</v>
      </c>
      <c r="I405" s="225" t="s">
        <v>216</v>
      </c>
      <c r="J405" s="175"/>
    </row>
    <row r="406" spans="1:14" s="176" customFormat="1" x14ac:dyDescent="0.25">
      <c r="A406" s="40"/>
      <c r="B406" s="22"/>
      <c r="C406" s="183"/>
      <c r="D406" s="192"/>
      <c r="E406" s="192"/>
      <c r="F406" s="192"/>
      <c r="G406" s="192"/>
      <c r="H406" s="24"/>
      <c r="I406" s="225"/>
      <c r="J406" s="175"/>
    </row>
    <row r="407" spans="1:14" s="176" customFormat="1" x14ac:dyDescent="0.25">
      <c r="A407" s="40"/>
      <c r="B407" s="167" t="s">
        <v>81</v>
      </c>
      <c r="C407" s="185" t="s">
        <v>234</v>
      </c>
      <c r="D407" s="191">
        <f>D408</f>
        <v>752600000</v>
      </c>
      <c r="E407" s="191">
        <f t="shared" ref="E407:G407" si="148">E408</f>
        <v>376300000</v>
      </c>
      <c r="F407" s="191">
        <f t="shared" si="148"/>
        <v>0</v>
      </c>
      <c r="G407" s="191">
        <f t="shared" si="148"/>
        <v>376300000</v>
      </c>
      <c r="H407" s="236">
        <f>G407/D407</f>
        <v>0.5</v>
      </c>
      <c r="I407" s="225"/>
      <c r="J407" s="175"/>
    </row>
    <row r="408" spans="1:14" s="176" customFormat="1" x14ac:dyDescent="0.25">
      <c r="A408" s="40"/>
      <c r="B408" s="190" t="s">
        <v>559</v>
      </c>
      <c r="C408" s="183" t="s">
        <v>234</v>
      </c>
      <c r="D408" s="192">
        <v>752600000</v>
      </c>
      <c r="E408" s="192">
        <f>'Realisasi Okt'!G408</f>
        <v>376300000</v>
      </c>
      <c r="F408" s="192"/>
      <c r="G408" s="192">
        <f>E408+F408</f>
        <v>376300000</v>
      </c>
      <c r="H408" s="24">
        <f>G408/D408</f>
        <v>0.5</v>
      </c>
      <c r="I408" s="225" t="s">
        <v>216</v>
      </c>
      <c r="J408" s="175"/>
    </row>
    <row r="409" spans="1:14" s="176" customFormat="1" x14ac:dyDescent="0.25">
      <c r="A409" s="40"/>
      <c r="B409" s="22"/>
      <c r="C409" s="183"/>
      <c r="D409" s="192"/>
      <c r="E409" s="192"/>
      <c r="F409" s="192"/>
      <c r="G409" s="191"/>
      <c r="H409" s="236"/>
      <c r="I409" s="223"/>
      <c r="J409" s="175"/>
    </row>
    <row r="410" spans="1:14" s="176" customFormat="1" x14ac:dyDescent="0.25">
      <c r="A410" s="132" t="s">
        <v>91</v>
      </c>
      <c r="B410" s="133" t="s">
        <v>396</v>
      </c>
      <c r="C410" s="130" t="s">
        <v>236</v>
      </c>
      <c r="D410" s="131">
        <f>D411</f>
        <v>20360896000</v>
      </c>
      <c r="E410" s="131">
        <f>E411</f>
        <v>8863324000</v>
      </c>
      <c r="F410" s="131">
        <f t="shared" ref="F410:G411" si="149">F411</f>
        <v>0</v>
      </c>
      <c r="G410" s="131">
        <f t="shared" si="149"/>
        <v>8863324000</v>
      </c>
      <c r="H410" s="419">
        <f>G410/D410</f>
        <v>0.43531109829351322</v>
      </c>
      <c r="I410" s="225" t="s">
        <v>237</v>
      </c>
      <c r="J410" s="175"/>
    </row>
    <row r="411" spans="1:14" s="176" customFormat="1" x14ac:dyDescent="0.25">
      <c r="A411" s="122"/>
      <c r="B411" s="189" t="s">
        <v>397</v>
      </c>
      <c r="C411" s="35" t="s">
        <v>236</v>
      </c>
      <c r="D411" s="121">
        <f>D412</f>
        <v>20360896000</v>
      </c>
      <c r="E411" s="121">
        <f>E412</f>
        <v>8863324000</v>
      </c>
      <c r="F411" s="121">
        <f t="shared" si="149"/>
        <v>0</v>
      </c>
      <c r="G411" s="121">
        <f t="shared" si="149"/>
        <v>8863324000</v>
      </c>
      <c r="H411" s="277">
        <f>G411/D411</f>
        <v>0.43531109829351322</v>
      </c>
      <c r="I411" s="225"/>
      <c r="J411" s="175"/>
    </row>
    <row r="412" spans="1:14" s="176" customFormat="1" x14ac:dyDescent="0.25">
      <c r="A412" s="40"/>
      <c r="B412" s="189" t="s">
        <v>560</v>
      </c>
      <c r="C412" s="35" t="s">
        <v>236</v>
      </c>
      <c r="D412" s="121">
        <v>20360896000</v>
      </c>
      <c r="E412" s="121">
        <f>'Realisasi Okt'!G412</f>
        <v>8863324000</v>
      </c>
      <c r="F412" s="121"/>
      <c r="G412" s="191">
        <f>E412+F412</f>
        <v>8863324000</v>
      </c>
      <c r="H412" s="277">
        <f>G412/D412</f>
        <v>0.43531109829351322</v>
      </c>
      <c r="I412" s="223"/>
      <c r="J412" s="175"/>
      <c r="N412" s="176" t="s">
        <v>580</v>
      </c>
    </row>
    <row r="413" spans="1:14" s="176" customFormat="1" ht="30" x14ac:dyDescent="0.25">
      <c r="A413" s="40"/>
      <c r="B413" s="178"/>
      <c r="C413" s="54" t="s">
        <v>238</v>
      </c>
      <c r="D413" s="55"/>
      <c r="E413" s="55"/>
      <c r="F413" s="55"/>
      <c r="G413" s="192">
        <f>F413-D413</f>
        <v>0</v>
      </c>
      <c r="H413" s="24"/>
      <c r="I413" s="225"/>
      <c r="J413" s="175"/>
    </row>
    <row r="414" spans="1:14" s="176" customFormat="1" ht="30" x14ac:dyDescent="0.25">
      <c r="A414" s="40"/>
      <c r="B414" s="178"/>
      <c r="C414" s="54" t="s">
        <v>239</v>
      </c>
      <c r="D414" s="55"/>
      <c r="E414" s="55"/>
      <c r="F414" s="55"/>
      <c r="G414" s="192">
        <f>F414-D414</f>
        <v>0</v>
      </c>
      <c r="H414" s="24"/>
      <c r="I414" s="225"/>
      <c r="J414" s="175"/>
    </row>
    <row r="415" spans="1:14" s="176" customFormat="1" ht="30" x14ac:dyDescent="0.25">
      <c r="A415" s="40"/>
      <c r="B415" s="178"/>
      <c r="C415" s="54" t="s">
        <v>240</v>
      </c>
      <c r="D415" s="55"/>
      <c r="E415" s="55"/>
      <c r="F415" s="55"/>
      <c r="G415" s="192">
        <f>F415-D415</f>
        <v>0</v>
      </c>
      <c r="H415" s="24"/>
      <c r="I415" s="225"/>
      <c r="J415" s="175"/>
    </row>
    <row r="416" spans="1:14" s="176" customFormat="1" x14ac:dyDescent="0.25">
      <c r="A416" s="56"/>
      <c r="B416" s="57"/>
      <c r="C416" s="58"/>
      <c r="D416" s="192"/>
      <c r="E416" s="192"/>
      <c r="F416" s="192"/>
      <c r="G416" s="191"/>
      <c r="H416" s="236"/>
      <c r="I416" s="228"/>
      <c r="J416" s="175"/>
    </row>
    <row r="417" spans="1:10" s="176" customFormat="1" ht="25.5" customHeight="1" x14ac:dyDescent="0.25">
      <c r="A417" s="134" t="s">
        <v>417</v>
      </c>
      <c r="B417" s="135" t="s">
        <v>398</v>
      </c>
      <c r="C417" s="136" t="s">
        <v>399</v>
      </c>
      <c r="D417" s="137">
        <f>SUM(D418+D431)</f>
        <v>145013445488.33002</v>
      </c>
      <c r="E417" s="137">
        <f t="shared" ref="E417:G417" si="150">SUM(E418+E431)</f>
        <v>103711119030</v>
      </c>
      <c r="F417" s="137">
        <f t="shared" si="150"/>
        <v>15067792421</v>
      </c>
      <c r="G417" s="137">
        <f t="shared" si="150"/>
        <v>118778911451</v>
      </c>
      <c r="H417" s="238">
        <f t="shared" ref="H417:H429" si="151">G417/D417</f>
        <v>0.8190889544829052</v>
      </c>
      <c r="I417" s="229"/>
      <c r="J417" s="175"/>
    </row>
    <row r="418" spans="1:10" s="176" customFormat="1" ht="25.5" customHeight="1" x14ac:dyDescent="0.25">
      <c r="A418" s="169" t="s">
        <v>426</v>
      </c>
      <c r="B418" s="189" t="s">
        <v>400</v>
      </c>
      <c r="C418" s="185" t="s">
        <v>401</v>
      </c>
      <c r="D418" s="191">
        <f>D419</f>
        <v>135038655888.33</v>
      </c>
      <c r="E418" s="191">
        <f t="shared" ref="E418:G418" si="152">E419</f>
        <v>98095119030</v>
      </c>
      <c r="F418" s="191">
        <f>F419</f>
        <v>13165792421</v>
      </c>
      <c r="G418" s="191">
        <f t="shared" si="152"/>
        <v>111260911451</v>
      </c>
      <c r="H418" s="236">
        <f t="shared" si="151"/>
        <v>0.82391897874788556</v>
      </c>
      <c r="I418" s="230"/>
      <c r="J418" s="175"/>
    </row>
    <row r="419" spans="1:10" s="176" customFormat="1" ht="25.5" customHeight="1" x14ac:dyDescent="0.25">
      <c r="A419" s="169"/>
      <c r="B419" s="189" t="s">
        <v>402</v>
      </c>
      <c r="C419" s="185" t="s">
        <v>403</v>
      </c>
      <c r="D419" s="191">
        <f>SUM(D420:D429)</f>
        <v>135038655888.33</v>
      </c>
      <c r="E419" s="191">
        <f t="shared" ref="E419:G419" si="153">SUM(E420:E429)</f>
        <v>98095119030</v>
      </c>
      <c r="F419" s="191">
        <f>SUM(F420:F429)</f>
        <v>13165792421</v>
      </c>
      <c r="G419" s="191">
        <f t="shared" si="153"/>
        <v>111260911451</v>
      </c>
      <c r="H419" s="236">
        <f t="shared" si="151"/>
        <v>0.82391897874788556</v>
      </c>
      <c r="I419" s="230"/>
      <c r="J419" s="175"/>
    </row>
    <row r="420" spans="1:10" s="176" customFormat="1" ht="25.5" customHeight="1" x14ac:dyDescent="0.25">
      <c r="A420" s="184" t="s">
        <v>89</v>
      </c>
      <c r="B420" s="190" t="s">
        <v>561</v>
      </c>
      <c r="C420" s="183" t="s">
        <v>244</v>
      </c>
      <c r="D420" s="178">
        <v>32206000000</v>
      </c>
      <c r="E420" s="178">
        <f>'Realisasi Okt'!G420</f>
        <v>20281381888</v>
      </c>
      <c r="F420" s="178"/>
      <c r="G420" s="192">
        <f>E420+F420</f>
        <v>20281381888</v>
      </c>
      <c r="H420" s="24">
        <f t="shared" si="151"/>
        <v>0.62973923765757933</v>
      </c>
      <c r="I420" s="231"/>
      <c r="J420" s="175"/>
    </row>
    <row r="421" spans="1:10" s="176" customFormat="1" ht="25.5" customHeight="1" x14ac:dyDescent="0.25">
      <c r="A421" s="188"/>
      <c r="B421" s="178"/>
      <c r="C421" s="193" t="s">
        <v>664</v>
      </c>
      <c r="D421" s="55">
        <v>2690492585</v>
      </c>
      <c r="E421" s="178">
        <f>'Realisasi Okt'!G421</f>
        <v>0</v>
      </c>
      <c r="F421" s="55">
        <v>2690492585</v>
      </c>
      <c r="G421" s="192">
        <f t="shared" ref="G421:G429" si="154">E421+F421</f>
        <v>2690492585</v>
      </c>
      <c r="H421" s="24">
        <f t="shared" si="151"/>
        <v>1</v>
      </c>
      <c r="I421" s="231"/>
      <c r="J421" s="175"/>
    </row>
    <row r="422" spans="1:10" s="176" customFormat="1" ht="25.5" customHeight="1" x14ac:dyDescent="0.25">
      <c r="A422" s="184" t="s">
        <v>91</v>
      </c>
      <c r="B422" s="190" t="s">
        <v>562</v>
      </c>
      <c r="C422" s="183" t="s">
        <v>245</v>
      </c>
      <c r="D422" s="178">
        <v>17327982563</v>
      </c>
      <c r="E422" s="178">
        <f>'Realisasi Okt'!G422</f>
        <v>16644187775</v>
      </c>
      <c r="F422" s="178"/>
      <c r="G422" s="192">
        <f t="shared" si="154"/>
        <v>16644187775</v>
      </c>
      <c r="H422" s="24">
        <f t="shared" si="151"/>
        <v>0.96053811887714557</v>
      </c>
      <c r="I422" s="231"/>
      <c r="J422" s="175"/>
    </row>
    <row r="423" spans="1:10" s="176" customFormat="1" ht="25.5" customHeight="1" x14ac:dyDescent="0.25">
      <c r="A423" s="188"/>
      <c r="B423" s="178"/>
      <c r="C423" s="193" t="s">
        <v>665</v>
      </c>
      <c r="D423" s="55">
        <v>2504702813</v>
      </c>
      <c r="E423" s="178">
        <f>'Realisasi Okt'!G423</f>
        <v>0</v>
      </c>
      <c r="F423" s="55">
        <v>2004702813</v>
      </c>
      <c r="G423" s="192">
        <f t="shared" si="154"/>
        <v>2004702813</v>
      </c>
      <c r="H423" s="24">
        <f t="shared" si="151"/>
        <v>0.80037551864241863</v>
      </c>
      <c r="I423" s="232"/>
      <c r="J423" s="175"/>
    </row>
    <row r="424" spans="1:10" s="176" customFormat="1" ht="25.5" customHeight="1" x14ac:dyDescent="0.25">
      <c r="A424" s="184" t="s">
        <v>72</v>
      </c>
      <c r="B424" s="190" t="s">
        <v>563</v>
      </c>
      <c r="C424" s="183" t="s">
        <v>246</v>
      </c>
      <c r="D424" s="178">
        <v>52123540857</v>
      </c>
      <c r="E424" s="178">
        <f>'Realisasi Okt'!G424</f>
        <v>44545032005</v>
      </c>
      <c r="F424" s="178"/>
      <c r="G424" s="192">
        <f t="shared" si="154"/>
        <v>44545032005</v>
      </c>
      <c r="H424" s="24">
        <f t="shared" si="151"/>
        <v>0.85460487281952879</v>
      </c>
      <c r="I424" s="232"/>
      <c r="J424" s="175"/>
    </row>
    <row r="425" spans="1:10" s="176" customFormat="1" ht="25.5" customHeight="1" x14ac:dyDescent="0.25">
      <c r="A425" s="188"/>
      <c r="B425" s="178"/>
      <c r="C425" s="193" t="s">
        <v>666</v>
      </c>
      <c r="D425" s="55">
        <v>4867170924</v>
      </c>
      <c r="E425" s="178">
        <f>'Realisasi Okt'!G425</f>
        <v>0</v>
      </c>
      <c r="F425" s="55">
        <v>4867170924</v>
      </c>
      <c r="G425" s="192">
        <f t="shared" si="154"/>
        <v>4867170924</v>
      </c>
      <c r="H425" s="24">
        <f t="shared" si="151"/>
        <v>1</v>
      </c>
      <c r="I425" s="231"/>
      <c r="J425" s="175"/>
    </row>
    <row r="426" spans="1:10" s="176" customFormat="1" ht="25.5" customHeight="1" x14ac:dyDescent="0.25">
      <c r="A426" s="184" t="s">
        <v>168</v>
      </c>
      <c r="B426" s="190" t="s">
        <v>564</v>
      </c>
      <c r="C426" s="183" t="s">
        <v>247</v>
      </c>
      <c r="D426" s="192">
        <v>4416983951</v>
      </c>
      <c r="E426" s="178">
        <f>'Realisasi Okt'!G426</f>
        <v>835481531</v>
      </c>
      <c r="F426" s="192"/>
      <c r="G426" s="192">
        <f t="shared" si="154"/>
        <v>835481531</v>
      </c>
      <c r="H426" s="24">
        <f t="shared" si="151"/>
        <v>0.18915204136316771</v>
      </c>
      <c r="I426" s="233"/>
      <c r="J426" s="175"/>
    </row>
    <row r="427" spans="1:10" s="176" customFormat="1" ht="25.5" customHeight="1" x14ac:dyDescent="0.25">
      <c r="A427" s="188"/>
      <c r="B427" s="178"/>
      <c r="C427" s="193" t="s">
        <v>667</v>
      </c>
      <c r="D427" s="55">
        <v>94357303</v>
      </c>
      <c r="E427" s="178">
        <f>'Realisasi Okt'!G427</f>
        <v>0</v>
      </c>
      <c r="F427" s="55">
        <v>94357303</v>
      </c>
      <c r="G427" s="192">
        <f t="shared" si="154"/>
        <v>94357303</v>
      </c>
      <c r="H427" s="24">
        <f t="shared" si="151"/>
        <v>1</v>
      </c>
      <c r="I427" s="232"/>
      <c r="J427" s="175"/>
    </row>
    <row r="428" spans="1:10" s="176" customFormat="1" ht="25.5" customHeight="1" x14ac:dyDescent="0.25">
      <c r="A428" s="184" t="s">
        <v>404</v>
      </c>
      <c r="B428" s="190" t="s">
        <v>565</v>
      </c>
      <c r="C428" s="183" t="s">
        <v>248</v>
      </c>
      <c r="D428" s="178">
        <v>18807424892.330002</v>
      </c>
      <c r="E428" s="178">
        <f>'Realisasi Okt'!G428</f>
        <v>12848973467</v>
      </c>
      <c r="F428" s="178">
        <v>3509068796</v>
      </c>
      <c r="G428" s="192">
        <f t="shared" si="154"/>
        <v>16358042263</v>
      </c>
      <c r="H428" s="24">
        <f t="shared" si="151"/>
        <v>0.86976512503160908</v>
      </c>
      <c r="I428" s="232"/>
      <c r="J428" s="175"/>
    </row>
    <row r="429" spans="1:10" s="176" customFormat="1" ht="25.5" customHeight="1" x14ac:dyDescent="0.25">
      <c r="A429" s="188"/>
      <c r="B429" s="178"/>
      <c r="C429" s="193" t="s">
        <v>668</v>
      </c>
      <c r="D429" s="55"/>
      <c r="E429" s="178">
        <f>'Realisasi Okt'!G429</f>
        <v>2940062364</v>
      </c>
      <c r="F429" s="55"/>
      <c r="G429" s="192">
        <f t="shared" si="154"/>
        <v>2940062364</v>
      </c>
      <c r="H429" s="252" t="e">
        <f t="shared" si="151"/>
        <v>#DIV/0!</v>
      </c>
      <c r="I429" s="231"/>
      <c r="J429" s="175"/>
    </row>
    <row r="430" spans="1:10" s="176" customFormat="1" ht="25.5" customHeight="1" x14ac:dyDescent="0.25">
      <c r="A430" s="188"/>
      <c r="B430" s="178"/>
      <c r="C430" s="193"/>
      <c r="D430" s="55"/>
      <c r="E430" s="55"/>
      <c r="F430" s="55"/>
      <c r="G430" s="192"/>
      <c r="H430" s="24"/>
      <c r="I430" s="231"/>
      <c r="J430" s="175"/>
    </row>
    <row r="431" spans="1:10" s="176" customFormat="1" ht="25.5" customHeight="1" x14ac:dyDescent="0.25">
      <c r="A431" s="169" t="s">
        <v>163</v>
      </c>
      <c r="B431" s="189" t="s">
        <v>425</v>
      </c>
      <c r="C431" s="185" t="s">
        <v>428</v>
      </c>
      <c r="D431" s="53">
        <f>SUM(D432+D434)</f>
        <v>9974789600</v>
      </c>
      <c r="E431" s="53">
        <f>E434</f>
        <v>5616000000</v>
      </c>
      <c r="F431" s="53">
        <f t="shared" ref="F431:G431" si="155">SUM(F432+F434)</f>
        <v>1902000000</v>
      </c>
      <c r="G431" s="53">
        <f t="shared" si="155"/>
        <v>7518000000</v>
      </c>
      <c r="H431" s="236">
        <f>G431/D431</f>
        <v>0.75370010812057631</v>
      </c>
      <c r="I431" s="231"/>
      <c r="J431" s="175"/>
    </row>
    <row r="432" spans="1:10" s="176" customFormat="1" ht="25.5" customHeight="1" x14ac:dyDescent="0.25">
      <c r="A432" s="188"/>
      <c r="B432" s="189" t="s">
        <v>429</v>
      </c>
      <c r="C432" s="185" t="s">
        <v>430</v>
      </c>
      <c r="D432" s="55">
        <f>D433</f>
        <v>0</v>
      </c>
      <c r="E432" s="55"/>
      <c r="F432" s="55">
        <f>F433</f>
        <v>0</v>
      </c>
      <c r="G432" s="192">
        <f>F432-D432</f>
        <v>0</v>
      </c>
      <c r="H432" s="24"/>
      <c r="I432" s="231"/>
      <c r="J432" s="175"/>
    </row>
    <row r="433" spans="1:10" s="176" customFormat="1" ht="25.5" customHeight="1" x14ac:dyDescent="0.25">
      <c r="A433" s="188"/>
      <c r="B433" s="189" t="s">
        <v>431</v>
      </c>
      <c r="C433" s="185" t="s">
        <v>432</v>
      </c>
      <c r="D433" s="55"/>
      <c r="E433" s="55"/>
      <c r="F433" s="55"/>
      <c r="G433" s="192">
        <f>F433-D433</f>
        <v>0</v>
      </c>
      <c r="H433" s="24"/>
      <c r="I433" s="231"/>
      <c r="J433" s="175"/>
    </row>
    <row r="434" spans="1:10" s="176" customFormat="1" ht="25.5" customHeight="1" x14ac:dyDescent="0.25">
      <c r="A434" s="188"/>
      <c r="B434" s="189" t="s">
        <v>433</v>
      </c>
      <c r="C434" s="185" t="s">
        <v>434</v>
      </c>
      <c r="D434" s="53">
        <f>D435+D437+D438</f>
        <v>9974789600</v>
      </c>
      <c r="E434" s="53">
        <f>E435</f>
        <v>5616000000</v>
      </c>
      <c r="F434" s="53">
        <f>F435</f>
        <v>1902000000</v>
      </c>
      <c r="G434" s="53">
        <f>G435</f>
        <v>7518000000</v>
      </c>
      <c r="H434" s="236">
        <f t="shared" ref="H434:H448" si="156">G434/D434</f>
        <v>0.75370010812057631</v>
      </c>
      <c r="I434" s="231"/>
      <c r="J434" s="175"/>
    </row>
    <row r="435" spans="1:10" s="176" customFormat="1" ht="25.5" customHeight="1" x14ac:dyDescent="0.25">
      <c r="A435" s="188"/>
      <c r="B435" s="189" t="s">
        <v>566</v>
      </c>
      <c r="C435" s="185" t="s">
        <v>445</v>
      </c>
      <c r="D435" s="53">
        <v>9974789600</v>
      </c>
      <c r="E435" s="53">
        <f>SUM(E436:E438)</f>
        <v>5616000000</v>
      </c>
      <c r="F435" s="53">
        <f t="shared" ref="F435:G435" si="157">SUM(F436:F438)</f>
        <v>1902000000</v>
      </c>
      <c r="G435" s="53">
        <f t="shared" si="157"/>
        <v>7518000000</v>
      </c>
      <c r="H435" s="236">
        <f t="shared" si="156"/>
        <v>0.75370010812057631</v>
      </c>
      <c r="I435" s="231"/>
      <c r="J435" s="175"/>
    </row>
    <row r="436" spans="1:10" s="176" customFormat="1" ht="25.5" customHeight="1" x14ac:dyDescent="0.25">
      <c r="A436" s="188"/>
      <c r="B436" s="189"/>
      <c r="C436" s="35" t="s">
        <v>602</v>
      </c>
      <c r="D436" s="53"/>
      <c r="E436" s="53">
        <f>'Realisasi Okt'!G436</f>
        <v>4628000000</v>
      </c>
      <c r="F436" s="53"/>
      <c r="G436" s="191">
        <f>E436+F436</f>
        <v>4628000000</v>
      </c>
      <c r="H436" s="253" t="e">
        <f t="shared" si="156"/>
        <v>#DIV/0!</v>
      </c>
      <c r="I436" s="231"/>
      <c r="J436" s="175"/>
    </row>
    <row r="437" spans="1:10" s="176" customFormat="1" ht="25.5" customHeight="1" x14ac:dyDescent="0.25">
      <c r="A437" s="188"/>
      <c r="B437" s="189"/>
      <c r="C437" s="35" t="s">
        <v>603</v>
      </c>
      <c r="D437" s="53"/>
      <c r="E437" s="53"/>
      <c r="F437" s="53">
        <v>420000000</v>
      </c>
      <c r="G437" s="191">
        <f t="shared" ref="G437:G440" si="158">E437+F437</f>
        <v>420000000</v>
      </c>
      <c r="H437" s="253" t="e">
        <f t="shared" si="156"/>
        <v>#DIV/0!</v>
      </c>
      <c r="I437" s="231"/>
      <c r="J437" s="175"/>
    </row>
    <row r="438" spans="1:10" s="176" customFormat="1" ht="25.5" customHeight="1" x14ac:dyDescent="0.25">
      <c r="A438" s="188"/>
      <c r="B438" s="189"/>
      <c r="C438" s="35" t="s">
        <v>604</v>
      </c>
      <c r="D438" s="53">
        <f>SUM(D439:D440)</f>
        <v>0</v>
      </c>
      <c r="E438" s="53">
        <f>'Realisasi Okt'!G438</f>
        <v>988000000</v>
      </c>
      <c r="F438" s="53">
        <v>1482000000</v>
      </c>
      <c r="G438" s="191">
        <f t="shared" si="158"/>
        <v>2470000000</v>
      </c>
      <c r="H438" s="253" t="e">
        <f t="shared" si="156"/>
        <v>#DIV/0!</v>
      </c>
      <c r="I438" s="231"/>
      <c r="J438" s="175"/>
    </row>
    <row r="439" spans="1:10" s="176" customFormat="1" ht="25.5" customHeight="1" x14ac:dyDescent="0.25">
      <c r="A439" s="188"/>
      <c r="B439" s="189"/>
      <c r="C439" s="193" t="s">
        <v>605</v>
      </c>
      <c r="D439" s="55"/>
      <c r="E439" s="55"/>
      <c r="F439" s="55"/>
      <c r="G439" s="191">
        <f t="shared" si="158"/>
        <v>0</v>
      </c>
      <c r="H439" s="252" t="e">
        <f t="shared" si="156"/>
        <v>#DIV/0!</v>
      </c>
      <c r="I439" s="231"/>
      <c r="J439" s="175"/>
    </row>
    <row r="440" spans="1:10" s="176" customFormat="1" ht="25.5" customHeight="1" x14ac:dyDescent="0.25">
      <c r="A440" s="188"/>
      <c r="B440" s="178"/>
      <c r="C440" s="193" t="s">
        <v>606</v>
      </c>
      <c r="D440" s="55"/>
      <c r="E440" s="55"/>
      <c r="F440" s="55"/>
      <c r="G440" s="191">
        <f t="shared" si="158"/>
        <v>0</v>
      </c>
      <c r="H440" s="252" t="e">
        <f t="shared" si="156"/>
        <v>#DIV/0!</v>
      </c>
      <c r="I440" s="231"/>
      <c r="J440" s="175"/>
    </row>
    <row r="441" spans="1:10" s="176" customFormat="1" ht="25.5" customHeight="1" x14ac:dyDescent="0.25">
      <c r="A441" s="129" t="s">
        <v>241</v>
      </c>
      <c r="B441" s="128" t="s">
        <v>242</v>
      </c>
      <c r="C441" s="41" t="s">
        <v>243</v>
      </c>
      <c r="D441" s="42">
        <f>D442</f>
        <v>0</v>
      </c>
      <c r="E441" s="42"/>
      <c r="F441" s="42">
        <f t="shared" ref="F441:G442" si="159">F442</f>
        <v>0</v>
      </c>
      <c r="G441" s="42">
        <f t="shared" si="159"/>
        <v>0</v>
      </c>
      <c r="H441" s="390" t="e">
        <f t="shared" si="156"/>
        <v>#DIV/0!</v>
      </c>
      <c r="I441" s="231"/>
      <c r="J441" s="175"/>
    </row>
    <row r="442" spans="1:10" s="176" customFormat="1" ht="41.25" customHeight="1" x14ac:dyDescent="0.25">
      <c r="A442" s="168" t="s">
        <v>166</v>
      </c>
      <c r="B442" s="189" t="s">
        <v>418</v>
      </c>
      <c r="C442" s="30" t="s">
        <v>419</v>
      </c>
      <c r="D442" s="191">
        <f>D443</f>
        <v>0</v>
      </c>
      <c r="E442" s="191"/>
      <c r="F442" s="191">
        <f t="shared" si="159"/>
        <v>0</v>
      </c>
      <c r="G442" s="191">
        <f t="shared" si="159"/>
        <v>0</v>
      </c>
      <c r="H442" s="253" t="e">
        <f t="shared" si="156"/>
        <v>#DIV/0!</v>
      </c>
      <c r="I442" s="231"/>
      <c r="J442" s="175"/>
    </row>
    <row r="443" spans="1:10" s="176" customFormat="1" ht="25.5" customHeight="1" x14ac:dyDescent="0.25">
      <c r="A443" s="169"/>
      <c r="B443" s="189" t="s">
        <v>420</v>
      </c>
      <c r="C443" s="185" t="s">
        <v>421</v>
      </c>
      <c r="D443" s="191">
        <f>D444+D458</f>
        <v>0</v>
      </c>
      <c r="E443" s="191"/>
      <c r="F443" s="191">
        <f t="shared" ref="F443:G443" si="160">F444+F458</f>
        <v>0</v>
      </c>
      <c r="G443" s="191">
        <f t="shared" si="160"/>
        <v>0</v>
      </c>
      <c r="H443" s="253" t="e">
        <f t="shared" si="156"/>
        <v>#DIV/0!</v>
      </c>
      <c r="I443" s="231"/>
      <c r="J443" s="175"/>
    </row>
    <row r="444" spans="1:10" s="176" customFormat="1" ht="25.5" customHeight="1" x14ac:dyDescent="0.25">
      <c r="A444" s="168" t="s">
        <v>89</v>
      </c>
      <c r="B444" s="189" t="s">
        <v>422</v>
      </c>
      <c r="C444" s="185" t="s">
        <v>423</v>
      </c>
      <c r="D444" s="191">
        <f>D445</f>
        <v>0</v>
      </c>
      <c r="E444" s="191"/>
      <c r="F444" s="191">
        <f t="shared" ref="F444:G444" si="161">F445</f>
        <v>0</v>
      </c>
      <c r="G444" s="191">
        <f t="shared" si="161"/>
        <v>0</v>
      </c>
      <c r="H444" s="253" t="e">
        <f t="shared" si="156"/>
        <v>#DIV/0!</v>
      </c>
      <c r="I444" s="231"/>
      <c r="J444" s="175"/>
    </row>
    <row r="445" spans="1:10" s="176" customFormat="1" ht="25.5" customHeight="1" x14ac:dyDescent="0.25">
      <c r="A445" s="169"/>
      <c r="B445" s="190" t="s">
        <v>424</v>
      </c>
      <c r="C445" s="183" t="s">
        <v>423</v>
      </c>
      <c r="D445" s="192"/>
      <c r="E445" s="192"/>
      <c r="F445" s="192"/>
      <c r="G445" s="192">
        <f>E445+F445</f>
        <v>0</v>
      </c>
      <c r="H445" s="252" t="e">
        <f t="shared" si="156"/>
        <v>#DIV/0!</v>
      </c>
      <c r="I445" s="231"/>
      <c r="J445" s="175"/>
    </row>
    <row r="446" spans="1:10" s="176" customFormat="1" ht="25.5" customHeight="1" x14ac:dyDescent="0.25">
      <c r="A446" s="169"/>
      <c r="B446" s="190"/>
      <c r="C446" s="193" t="s">
        <v>607</v>
      </c>
      <c r="D446" s="192"/>
      <c r="E446" s="192"/>
      <c r="F446" s="192"/>
      <c r="G446" s="192"/>
      <c r="H446" s="252" t="e">
        <f t="shared" si="156"/>
        <v>#DIV/0!</v>
      </c>
      <c r="I446" s="231"/>
      <c r="J446" s="175"/>
    </row>
    <row r="447" spans="1:10" s="176" customFormat="1" ht="25.5" customHeight="1" x14ac:dyDescent="0.25">
      <c r="A447" s="169"/>
      <c r="B447" s="190"/>
      <c r="C447" s="193" t="s">
        <v>608</v>
      </c>
      <c r="D447" s="192"/>
      <c r="E447" s="192"/>
      <c r="F447" s="192"/>
      <c r="G447" s="192"/>
      <c r="H447" s="252" t="e">
        <f t="shared" si="156"/>
        <v>#DIV/0!</v>
      </c>
      <c r="I447" s="231"/>
      <c r="J447" s="175"/>
    </row>
    <row r="448" spans="1:10" s="176" customFormat="1" ht="25.5" customHeight="1" x14ac:dyDescent="0.25">
      <c r="A448" s="169"/>
      <c r="B448" s="190"/>
      <c r="C448" s="193" t="s">
        <v>609</v>
      </c>
      <c r="D448" s="192"/>
      <c r="E448" s="192"/>
      <c r="F448" s="192"/>
      <c r="G448" s="192"/>
      <c r="H448" s="252" t="e">
        <f t="shared" si="156"/>
        <v>#DIV/0!</v>
      </c>
      <c r="I448" s="231"/>
      <c r="J448" s="175"/>
    </row>
    <row r="449" spans="1:10" s="176" customFormat="1" ht="25.5" customHeight="1" x14ac:dyDescent="0.25">
      <c r="A449" s="169"/>
      <c r="B449" s="190"/>
      <c r="C449" s="183" t="s">
        <v>610</v>
      </c>
      <c r="D449" s="192"/>
      <c r="E449" s="192"/>
      <c r="F449" s="192"/>
      <c r="G449" s="192"/>
      <c r="H449" s="252"/>
      <c r="I449" s="231"/>
      <c r="J449" s="175"/>
    </row>
    <row r="450" spans="1:10" s="176" customFormat="1" ht="25.5" customHeight="1" x14ac:dyDescent="0.25">
      <c r="A450" s="169"/>
      <c r="B450" s="190"/>
      <c r="C450" s="183" t="s">
        <v>611</v>
      </c>
      <c r="D450" s="192"/>
      <c r="E450" s="192"/>
      <c r="F450" s="192"/>
      <c r="G450" s="192"/>
      <c r="H450" s="252"/>
      <c r="I450" s="231"/>
      <c r="J450" s="175"/>
    </row>
    <row r="451" spans="1:10" s="176" customFormat="1" ht="25.5" customHeight="1" x14ac:dyDescent="0.25">
      <c r="A451" s="169"/>
      <c r="B451" s="190"/>
      <c r="C451" s="183" t="s">
        <v>612</v>
      </c>
      <c r="D451" s="192"/>
      <c r="E451" s="192"/>
      <c r="F451" s="192"/>
      <c r="G451" s="192"/>
      <c r="H451" s="252"/>
      <c r="I451" s="231"/>
      <c r="J451" s="175"/>
    </row>
    <row r="452" spans="1:10" s="176" customFormat="1" ht="25.5" customHeight="1" x14ac:dyDescent="0.25">
      <c r="A452" s="169"/>
      <c r="B452" s="190"/>
      <c r="C452" s="183" t="s">
        <v>613</v>
      </c>
      <c r="D452" s="192"/>
      <c r="E452" s="192"/>
      <c r="F452" s="192"/>
      <c r="G452" s="192"/>
      <c r="H452" s="252"/>
      <c r="I452" s="231"/>
      <c r="J452" s="175"/>
    </row>
    <row r="453" spans="1:10" s="176" customFormat="1" ht="25.5" customHeight="1" x14ac:dyDescent="0.25">
      <c r="A453" s="169"/>
      <c r="B453" s="190"/>
      <c r="C453" s="193" t="s">
        <v>614</v>
      </c>
      <c r="D453" s="192"/>
      <c r="E453" s="192"/>
      <c r="F453" s="192"/>
      <c r="G453" s="192"/>
      <c r="H453" s="252" t="e">
        <f>G453/D453</f>
        <v>#DIV/0!</v>
      </c>
      <c r="I453" s="231"/>
      <c r="J453" s="175"/>
    </row>
    <row r="454" spans="1:10" s="176" customFormat="1" ht="25.5" customHeight="1" x14ac:dyDescent="0.25">
      <c r="A454" s="169"/>
      <c r="B454" s="190"/>
      <c r="C454" s="183" t="s">
        <v>616</v>
      </c>
      <c r="D454" s="192"/>
      <c r="E454" s="192"/>
      <c r="F454" s="192"/>
      <c r="G454" s="192"/>
      <c r="H454" s="252"/>
      <c r="I454" s="231"/>
      <c r="J454" s="175"/>
    </row>
    <row r="455" spans="1:10" s="176" customFormat="1" ht="25.5" customHeight="1" x14ac:dyDescent="0.25">
      <c r="A455" s="169"/>
      <c r="B455" s="190"/>
      <c r="C455" s="183" t="s">
        <v>615</v>
      </c>
      <c r="D455" s="192"/>
      <c r="E455" s="192"/>
      <c r="F455" s="192"/>
      <c r="G455" s="192"/>
      <c r="H455" s="252"/>
      <c r="I455" s="231"/>
      <c r="J455" s="175"/>
    </row>
    <row r="456" spans="1:10" s="176" customFormat="1" ht="25.5" customHeight="1" x14ac:dyDescent="0.25">
      <c r="A456" s="169"/>
      <c r="B456" s="190"/>
      <c r="C456" s="183" t="s">
        <v>617</v>
      </c>
      <c r="D456" s="192"/>
      <c r="E456" s="192"/>
      <c r="F456" s="192"/>
      <c r="G456" s="192"/>
      <c r="H456" s="252"/>
      <c r="I456" s="231"/>
      <c r="J456" s="175"/>
    </row>
    <row r="457" spans="1:10" s="176" customFormat="1" ht="25.5" customHeight="1" x14ac:dyDescent="0.25">
      <c r="A457" s="169"/>
      <c r="B457" s="190"/>
      <c r="C457" s="183"/>
      <c r="D457" s="192"/>
      <c r="E457" s="192"/>
      <c r="F457" s="192"/>
      <c r="G457" s="192"/>
      <c r="H457" s="252"/>
      <c r="I457" s="231"/>
      <c r="J457" s="175"/>
    </row>
    <row r="458" spans="1:10" s="176" customFormat="1" ht="25.5" customHeight="1" x14ac:dyDescent="0.25">
      <c r="A458" s="168" t="s">
        <v>91</v>
      </c>
      <c r="B458" s="189" t="s">
        <v>618</v>
      </c>
      <c r="C458" s="185" t="s">
        <v>620</v>
      </c>
      <c r="D458" s="191">
        <f>D459</f>
        <v>0</v>
      </c>
      <c r="E458" s="191"/>
      <c r="F458" s="191">
        <f t="shared" ref="F458:G458" si="162">F459</f>
        <v>0</v>
      </c>
      <c r="G458" s="191">
        <f t="shared" si="162"/>
        <v>0</v>
      </c>
      <c r="H458" s="253" t="e">
        <f>G458/D458</f>
        <v>#DIV/0!</v>
      </c>
      <c r="I458" s="231"/>
      <c r="J458" s="175"/>
    </row>
    <row r="459" spans="1:10" s="176" customFormat="1" ht="32.25" customHeight="1" x14ac:dyDescent="0.25">
      <c r="A459" s="169"/>
      <c r="B459" s="190" t="s">
        <v>619</v>
      </c>
      <c r="C459" s="58" t="s">
        <v>621</v>
      </c>
      <c r="D459" s="192">
        <v>0</v>
      </c>
      <c r="E459" s="192"/>
      <c r="F459" s="192"/>
      <c r="G459" s="192"/>
      <c r="H459" s="252" t="e">
        <f>G459/D459</f>
        <v>#DIV/0!</v>
      </c>
      <c r="I459" s="231"/>
      <c r="J459" s="175"/>
    </row>
    <row r="460" spans="1:10" s="176" customFormat="1" ht="25.5" customHeight="1" x14ac:dyDescent="0.25">
      <c r="A460" s="169"/>
      <c r="B460" s="190"/>
      <c r="C460" s="183"/>
      <c r="D460" s="192"/>
      <c r="E460" s="192"/>
      <c r="F460" s="192"/>
      <c r="G460" s="192"/>
      <c r="H460" s="24"/>
      <c r="I460" s="231"/>
      <c r="J460" s="175"/>
    </row>
    <row r="461" spans="1:10" s="176" customFormat="1" ht="30.75" customHeight="1" thickBot="1" x14ac:dyDescent="0.3">
      <c r="A461" s="59"/>
      <c r="B461" s="60"/>
      <c r="C461" s="61" t="s">
        <v>249</v>
      </c>
      <c r="D461" s="62">
        <f>D11</f>
        <v>1383352224486.3301</v>
      </c>
      <c r="E461" s="62">
        <f>E11</f>
        <v>1123356120214.72</v>
      </c>
      <c r="F461" s="62">
        <f t="shared" ref="F461:G461" si="163">F11</f>
        <v>100265347374.06</v>
      </c>
      <c r="G461" s="62">
        <f t="shared" si="163"/>
        <v>1223621467588.78</v>
      </c>
      <c r="H461" s="242">
        <f>G461/D461</f>
        <v>0.88453355980479831</v>
      </c>
      <c r="I461" s="234"/>
      <c r="J461" s="175"/>
    </row>
    <row r="462" spans="1:10" s="176" customFormat="1" hidden="1" x14ac:dyDescent="0.25">
      <c r="A462" s="63"/>
      <c r="B462" s="64"/>
      <c r="C462" s="65"/>
      <c r="D462" s="66"/>
      <c r="E462" s="66"/>
      <c r="F462" s="66"/>
      <c r="G462" s="66"/>
      <c r="H462" s="66"/>
      <c r="I462" s="67" t="e">
        <f>SUM(F462/D462)</f>
        <v>#DIV/0!</v>
      </c>
      <c r="J462" s="175"/>
    </row>
    <row r="463" spans="1:10" s="176" customFormat="1" hidden="1" x14ac:dyDescent="0.25">
      <c r="A463" s="68" t="s">
        <v>250</v>
      </c>
      <c r="B463" s="69" t="s">
        <v>46</v>
      </c>
      <c r="C463" s="70" t="s">
        <v>251</v>
      </c>
      <c r="D463" s="71" t="e">
        <f>SUM(#REF!-#REF!)</f>
        <v>#REF!</v>
      </c>
      <c r="E463" s="71"/>
      <c r="F463" s="71" t="e">
        <f>SUM(#REF!-#REF!)</f>
        <v>#REF!</v>
      </c>
      <c r="G463" s="71"/>
      <c r="H463" s="71"/>
      <c r="I463" s="72" t="e">
        <f>SUM(F463/#REF!)</f>
        <v>#REF!</v>
      </c>
      <c r="J463" s="175"/>
    </row>
    <row r="464" spans="1:10" s="176" customFormat="1" hidden="1" x14ac:dyDescent="0.25">
      <c r="A464" s="68"/>
      <c r="B464" s="69" t="s">
        <v>252</v>
      </c>
      <c r="C464" s="70" t="s">
        <v>253</v>
      </c>
      <c r="D464" s="71" t="e">
        <f>SUM(#REF!-#REF!)</f>
        <v>#REF!</v>
      </c>
      <c r="E464" s="71"/>
      <c r="F464" s="71" t="e">
        <f>SUM(#REF!-#REF!)</f>
        <v>#REF!</v>
      </c>
      <c r="G464" s="71"/>
      <c r="H464" s="71"/>
      <c r="I464" s="72" t="e">
        <f>SUM(F464/#REF!)</f>
        <v>#REF!</v>
      </c>
      <c r="J464" s="175"/>
    </row>
    <row r="465" spans="1:10" s="176" customFormat="1" hidden="1" x14ac:dyDescent="0.25">
      <c r="A465" s="68"/>
      <c r="B465" s="69" t="s">
        <v>254</v>
      </c>
      <c r="C465" s="70" t="s">
        <v>255</v>
      </c>
      <c r="D465" s="71" t="e">
        <f>SUM(#REF!-#REF!)</f>
        <v>#REF!</v>
      </c>
      <c r="E465" s="71"/>
      <c r="F465" s="71" t="e">
        <f>SUM(#REF!-#REF!)</f>
        <v>#REF!</v>
      </c>
      <c r="G465" s="71"/>
      <c r="H465" s="71"/>
      <c r="I465" s="72" t="e">
        <f>SUM(F465/#REF!)</f>
        <v>#REF!</v>
      </c>
      <c r="J465" s="175"/>
    </row>
    <row r="466" spans="1:10" s="176" customFormat="1" hidden="1" x14ac:dyDescent="0.25">
      <c r="A466" s="68"/>
      <c r="B466" s="69" t="s">
        <v>256</v>
      </c>
      <c r="C466" s="70" t="s">
        <v>257</v>
      </c>
      <c r="D466" s="71" t="e">
        <f>SUM(#REF!-#REF!)</f>
        <v>#REF!</v>
      </c>
      <c r="E466" s="71"/>
      <c r="F466" s="71" t="e">
        <f>SUM(#REF!-#REF!)</f>
        <v>#REF!</v>
      </c>
      <c r="G466" s="71"/>
      <c r="H466" s="71"/>
      <c r="I466" s="72">
        <v>1</v>
      </c>
      <c r="J466" s="175"/>
    </row>
    <row r="467" spans="1:10" s="176" customFormat="1" hidden="1" x14ac:dyDescent="0.25">
      <c r="A467" s="68"/>
      <c r="B467" s="69" t="s">
        <v>258</v>
      </c>
      <c r="C467" s="70" t="s">
        <v>259</v>
      </c>
      <c r="D467" s="71" t="e">
        <f>SUM(#REF!-#REF!)</f>
        <v>#REF!</v>
      </c>
      <c r="E467" s="71"/>
      <c r="F467" s="71" t="e">
        <f>SUM(#REF!-#REF!)</f>
        <v>#REF!</v>
      </c>
      <c r="G467" s="71"/>
      <c r="H467" s="71"/>
      <c r="I467" s="72">
        <v>1</v>
      </c>
      <c r="J467" s="175"/>
    </row>
    <row r="468" spans="1:10" s="176" customFormat="1" hidden="1" x14ac:dyDescent="0.25">
      <c r="A468" s="68"/>
      <c r="B468" s="73" t="s">
        <v>260</v>
      </c>
      <c r="C468" s="74" t="s">
        <v>261</v>
      </c>
      <c r="D468" s="38" t="e">
        <f>SUM(#REF!-#REF!)</f>
        <v>#REF!</v>
      </c>
      <c r="E468" s="38"/>
      <c r="F468" s="38" t="e">
        <f>SUM(#REF!-#REF!)</f>
        <v>#REF!</v>
      </c>
      <c r="G468" s="38"/>
      <c r="H468" s="38"/>
      <c r="I468" s="75">
        <v>1</v>
      </c>
      <c r="J468" s="175"/>
    </row>
    <row r="469" spans="1:10" s="176" customFormat="1" hidden="1" x14ac:dyDescent="0.25">
      <c r="A469" s="68"/>
      <c r="B469" s="76"/>
      <c r="C469" s="74" t="s">
        <v>262</v>
      </c>
      <c r="D469" s="38" t="e">
        <f>SUM(#REF!-#REF!)</f>
        <v>#REF!</v>
      </c>
      <c r="E469" s="38"/>
      <c r="F469" s="38" t="e">
        <f>SUM(#REF!-#REF!)</f>
        <v>#REF!</v>
      </c>
      <c r="G469" s="38"/>
      <c r="H469" s="38"/>
      <c r="I469" s="75">
        <v>1</v>
      </c>
      <c r="J469" s="175"/>
    </row>
    <row r="470" spans="1:10" s="176" customFormat="1" ht="18" hidden="1" customHeight="1" x14ac:dyDescent="0.25">
      <c r="A470" s="68"/>
      <c r="B470" s="77"/>
      <c r="C470" s="78" t="s">
        <v>263</v>
      </c>
      <c r="D470" s="38" t="e">
        <f>SUM(#REF!-#REF!)</f>
        <v>#REF!</v>
      </c>
      <c r="E470" s="38"/>
      <c r="F470" s="38" t="e">
        <f>SUM(#REF!-#REF!)</f>
        <v>#REF!</v>
      </c>
      <c r="G470" s="38"/>
      <c r="H470" s="38"/>
      <c r="I470" s="72" t="e">
        <f>SUM(F470/#REF!)</f>
        <v>#REF!</v>
      </c>
      <c r="J470" s="175"/>
    </row>
    <row r="471" spans="1:10" s="175" customFormat="1" x14ac:dyDescent="0.25">
      <c r="A471" s="1"/>
      <c r="B471" s="79"/>
      <c r="C471" s="396"/>
      <c r="D471" s="80"/>
      <c r="E471" s="80"/>
      <c r="F471" s="80"/>
      <c r="G471" s="80"/>
      <c r="H471" s="80"/>
      <c r="I471" s="396"/>
    </row>
    <row r="472" spans="1:10" s="175" customFormat="1" x14ac:dyDescent="0.25">
      <c r="A472" s="1"/>
      <c r="B472" s="79"/>
      <c r="C472" s="396"/>
      <c r="D472" s="194"/>
      <c r="E472" s="194"/>
      <c r="F472" s="194"/>
      <c r="G472" s="194"/>
      <c r="H472" s="194"/>
    </row>
    <row r="473" spans="1:10" s="175" customFormat="1" x14ac:dyDescent="0.25">
      <c r="A473" s="287" t="s">
        <v>628</v>
      </c>
      <c r="B473" s="288"/>
      <c r="C473" s="396"/>
      <c r="G473" s="291" t="s">
        <v>719</v>
      </c>
      <c r="H473" s="194"/>
    </row>
    <row r="474" spans="1:10" s="175" customFormat="1" x14ac:dyDescent="0.25">
      <c r="A474" s="1"/>
      <c r="B474" s="79"/>
      <c r="C474" s="396"/>
      <c r="G474" s="291" t="s">
        <v>630</v>
      </c>
      <c r="H474" s="201"/>
    </row>
    <row r="475" spans="1:10" s="175" customFormat="1" x14ac:dyDescent="0.25">
      <c r="A475" s="1"/>
      <c r="B475" s="79"/>
      <c r="C475" s="396"/>
      <c r="G475" s="291"/>
      <c r="H475" s="195"/>
    </row>
    <row r="476" spans="1:10" s="175" customFormat="1" x14ac:dyDescent="0.25">
      <c r="A476" s="1"/>
      <c r="B476" s="79"/>
      <c r="C476" s="396"/>
      <c r="G476" s="291"/>
      <c r="H476" s="195"/>
    </row>
    <row r="477" spans="1:10" s="175" customFormat="1" x14ac:dyDescent="0.25">
      <c r="A477" s="1"/>
      <c r="B477" s="79"/>
      <c r="C477" s="396"/>
      <c r="G477" s="291"/>
      <c r="H477" s="195"/>
    </row>
    <row r="478" spans="1:10" s="175" customFormat="1" x14ac:dyDescent="0.25">
      <c r="A478" s="1"/>
      <c r="B478" s="79"/>
      <c r="C478" s="396"/>
      <c r="G478" s="292" t="s">
        <v>579</v>
      </c>
      <c r="H478" s="195"/>
    </row>
    <row r="479" spans="1:10" s="175" customFormat="1" x14ac:dyDescent="0.25">
      <c r="A479" s="1"/>
      <c r="B479" s="79"/>
      <c r="C479" s="396"/>
      <c r="G479" s="291" t="s">
        <v>577</v>
      </c>
      <c r="H479" s="201"/>
    </row>
    <row r="480" spans="1:10" x14ac:dyDescent="0.25">
      <c r="G480" s="291" t="s">
        <v>576</v>
      </c>
    </row>
  </sheetData>
  <mergeCells count="11">
    <mergeCell ref="I7:I8"/>
    <mergeCell ref="B2:C2"/>
    <mergeCell ref="B3:C3"/>
    <mergeCell ref="B4:C4"/>
    <mergeCell ref="B5:C5"/>
    <mergeCell ref="F6:H6"/>
    <mergeCell ref="A7:A8"/>
    <mergeCell ref="B7:B8"/>
    <mergeCell ref="C7:C8"/>
    <mergeCell ref="E7:G7"/>
    <mergeCell ref="H7:H8"/>
  </mergeCells>
  <pageMargins left="0.59" right="0.15748031496062992" top="1.27" bottom="0.47244094488188981" header="0.39370078740157483" footer="0.23622047244094491"/>
  <pageSetup paperSize="9" scale="55" orientation="landscape" r:id="rId1"/>
  <headerFooter alignWithMargins="0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M62"/>
  <sheetViews>
    <sheetView topLeftCell="A7" zoomScale="79" zoomScaleNormal="79" workbookViewId="0">
      <selection activeCell="G30" sqref="G30"/>
    </sheetView>
  </sheetViews>
  <sheetFormatPr defaultColWidth="9.28515625" defaultRowHeight="13.15" customHeight="1" x14ac:dyDescent="0.25"/>
  <cols>
    <col min="1" max="1" width="6.7109375" style="113" customWidth="1"/>
    <col min="2" max="2" width="16.140625" style="113" customWidth="1"/>
    <col min="3" max="3" width="56" style="81" customWidth="1"/>
    <col min="4" max="4" width="29.5703125" style="81" customWidth="1"/>
    <col min="5" max="5" width="29.140625" style="81" customWidth="1"/>
    <col min="6" max="6" width="28.42578125" style="81" customWidth="1"/>
    <col min="7" max="7" width="28.85546875" style="81" customWidth="1"/>
    <col min="8" max="8" width="12.85546875" style="81" bestFit="1" customWidth="1"/>
    <col min="9" max="9" width="31.140625" style="271" customWidth="1"/>
    <col min="10" max="10" width="33" style="271" customWidth="1"/>
    <col min="11" max="11" width="30.5703125" style="81" customWidth="1"/>
    <col min="12" max="12" width="9.28515625" style="81"/>
    <col min="13" max="13" width="23.5703125" style="81" customWidth="1"/>
    <col min="14" max="30" width="9.28515625" style="81" customWidth="1"/>
    <col min="31" max="16384" width="9.28515625" style="81"/>
  </cols>
  <sheetData>
    <row r="2" spans="1:13" ht="17.25" customHeight="1" x14ac:dyDescent="0.25">
      <c r="B2" s="452" t="s">
        <v>0</v>
      </c>
      <c r="C2" s="452"/>
      <c r="D2" s="452"/>
      <c r="E2" s="5" t="s">
        <v>486</v>
      </c>
      <c r="F2" s="5"/>
      <c r="G2" s="175"/>
      <c r="H2" s="175"/>
    </row>
    <row r="3" spans="1:13" ht="17.25" customHeight="1" x14ac:dyDescent="0.25">
      <c r="B3" s="445" t="s">
        <v>480</v>
      </c>
      <c r="C3" s="445"/>
      <c r="D3" s="445"/>
      <c r="E3" s="5" t="s">
        <v>631</v>
      </c>
      <c r="F3" s="5"/>
      <c r="G3" s="175"/>
      <c r="H3" s="175"/>
    </row>
    <row r="4" spans="1:13" ht="23.25" customHeight="1" x14ac:dyDescent="0.25">
      <c r="B4" s="453" t="s">
        <v>481</v>
      </c>
      <c r="C4" s="453"/>
      <c r="D4" s="453"/>
      <c r="E4" s="6" t="s">
        <v>721</v>
      </c>
      <c r="F4" s="6"/>
      <c r="G4" s="175"/>
      <c r="H4" s="175"/>
    </row>
    <row r="5" spans="1:13" ht="23.25" customHeight="1" x14ac:dyDescent="0.25">
      <c r="B5" s="453"/>
      <c r="C5" s="453"/>
      <c r="D5" s="6"/>
      <c r="E5" s="6"/>
      <c r="F5" s="175"/>
      <c r="G5" s="175"/>
      <c r="H5" s="175"/>
    </row>
    <row r="6" spans="1:13" ht="21" customHeight="1" x14ac:dyDescent="0.25">
      <c r="B6" s="398"/>
      <c r="C6" s="398"/>
      <c r="D6" s="7"/>
      <c r="E6" s="7"/>
      <c r="F6" s="449"/>
      <c r="G6" s="449"/>
      <c r="H6" s="449"/>
    </row>
    <row r="7" spans="1:13" ht="21" customHeight="1" thickBot="1" x14ac:dyDescent="0.3">
      <c r="B7" s="398"/>
      <c r="C7" s="398"/>
      <c r="D7" s="7"/>
      <c r="E7" s="7"/>
      <c r="F7" s="449"/>
      <c r="G7" s="449"/>
      <c r="H7" s="449"/>
    </row>
    <row r="8" spans="1:13" s="83" customFormat="1" ht="23.25" customHeight="1" x14ac:dyDescent="0.25">
      <c r="A8" s="435" t="s">
        <v>2</v>
      </c>
      <c r="B8" s="437" t="s">
        <v>3</v>
      </c>
      <c r="C8" s="437" t="s">
        <v>4</v>
      </c>
      <c r="D8" s="202" t="s">
        <v>5</v>
      </c>
      <c r="E8" s="441" t="s">
        <v>475</v>
      </c>
      <c r="F8" s="441"/>
      <c r="G8" s="441"/>
      <c r="H8" s="454" t="s">
        <v>6</v>
      </c>
      <c r="I8" s="272"/>
      <c r="J8" s="272"/>
    </row>
    <row r="9" spans="1:13" s="83" customFormat="1" ht="23.25" customHeight="1" x14ac:dyDescent="0.25">
      <c r="A9" s="436"/>
      <c r="B9" s="438"/>
      <c r="C9" s="438"/>
      <c r="D9" s="203" t="s">
        <v>697</v>
      </c>
      <c r="E9" s="251" t="s">
        <v>476</v>
      </c>
      <c r="F9" s="251" t="s">
        <v>477</v>
      </c>
      <c r="G9" s="251" t="s">
        <v>478</v>
      </c>
      <c r="H9" s="455"/>
      <c r="I9" s="272"/>
      <c r="J9" s="272"/>
    </row>
    <row r="10" spans="1:13" ht="15.75" customHeight="1" x14ac:dyDescent="0.25">
      <c r="A10" s="11">
        <v>1</v>
      </c>
      <c r="B10" s="12">
        <v>2</v>
      </c>
      <c r="C10" s="13">
        <v>3</v>
      </c>
      <c r="D10" s="14">
        <v>4</v>
      </c>
      <c r="E10" s="14">
        <v>5</v>
      </c>
      <c r="F10" s="14">
        <v>6</v>
      </c>
      <c r="G10" s="15" t="s">
        <v>582</v>
      </c>
      <c r="H10" s="235" t="s">
        <v>583</v>
      </c>
    </row>
    <row r="11" spans="1:13" ht="20.25" customHeight="1" x14ac:dyDescent="0.25">
      <c r="A11" s="318"/>
      <c r="B11" s="199" t="s">
        <v>473</v>
      </c>
      <c r="C11" s="200" t="s">
        <v>9</v>
      </c>
      <c r="D11" s="275">
        <f>D12+D20+D31</f>
        <v>1383352224486.3301</v>
      </c>
      <c r="E11" s="275">
        <f t="shared" ref="E11:G11" si="0">E12+E20+E31</f>
        <v>1123356120214.72</v>
      </c>
      <c r="F11" s="275">
        <f t="shared" si="0"/>
        <v>100265347374.06</v>
      </c>
      <c r="G11" s="275">
        <f t="shared" si="0"/>
        <v>1223621467588.78</v>
      </c>
      <c r="H11" s="276">
        <f>G11/D11</f>
        <v>0.88453355980479831</v>
      </c>
      <c r="I11" s="328"/>
      <c r="J11" s="328"/>
      <c r="K11" s="328"/>
    </row>
    <row r="12" spans="1:13" ht="20.25" customHeight="1" x14ac:dyDescent="0.25">
      <c r="A12" s="149" t="s">
        <v>426</v>
      </c>
      <c r="B12" s="150" t="s">
        <v>11</v>
      </c>
      <c r="C12" s="151" t="s">
        <v>443</v>
      </c>
      <c r="D12" s="152">
        <f>SUM(D13+D14+D18+D19)</f>
        <v>443574940245</v>
      </c>
      <c r="E12" s="152">
        <f>SUM(E13+E14+E18+E19)</f>
        <v>399485956924.71997</v>
      </c>
      <c r="F12" s="152">
        <f t="shared" ref="F12:G12" si="1">SUM(F13+F14+F18+F19)</f>
        <v>35385942203.059998</v>
      </c>
      <c r="G12" s="152">
        <f t="shared" si="1"/>
        <v>434871899127.77997</v>
      </c>
      <c r="H12" s="243">
        <f>G12/D12</f>
        <v>0.98037977277883848</v>
      </c>
      <c r="I12" s="329"/>
      <c r="J12" s="329"/>
      <c r="K12" s="329"/>
      <c r="L12" s="329"/>
    </row>
    <row r="13" spans="1:13" ht="20.25" customHeight="1" x14ac:dyDescent="0.25">
      <c r="A13" s="319" t="s">
        <v>19</v>
      </c>
      <c r="B13" s="256" t="s">
        <v>345</v>
      </c>
      <c r="C13" s="265" t="s">
        <v>264</v>
      </c>
      <c r="D13" s="258">
        <f>'Realisasi Sept'!D13</f>
        <v>222013986230</v>
      </c>
      <c r="E13" s="258">
        <f>'Rkp Okt'!G13</f>
        <v>210434735801.35999</v>
      </c>
      <c r="F13" s="258">
        <f>'Realisasi Nov'!F13</f>
        <v>7955959534</v>
      </c>
      <c r="G13" s="258">
        <f>E13+F13</f>
        <v>218390695335.35999</v>
      </c>
      <c r="H13" s="259">
        <f t="shared" ref="H13:H35" si="2">G13/D13</f>
        <v>0.98367989802729638</v>
      </c>
      <c r="J13" s="344"/>
      <c r="K13" s="271"/>
      <c r="M13" s="90"/>
    </row>
    <row r="14" spans="1:13" ht="20.25" customHeight="1" x14ac:dyDescent="0.25">
      <c r="A14" s="320" t="s">
        <v>39</v>
      </c>
      <c r="B14" s="266" t="s">
        <v>346</v>
      </c>
      <c r="C14" s="267" t="s">
        <v>265</v>
      </c>
      <c r="D14" s="268">
        <f>SUM(D15:D17)</f>
        <v>47985440000</v>
      </c>
      <c r="E14" s="268">
        <f t="shared" ref="E14:G14" si="3">SUM(E15:E17)</f>
        <v>26342147848.169998</v>
      </c>
      <c r="F14" s="268">
        <f t="shared" si="3"/>
        <v>2556446711</v>
      </c>
      <c r="G14" s="268">
        <f t="shared" si="3"/>
        <v>28898594559.169998</v>
      </c>
      <c r="H14" s="269">
        <f t="shared" si="2"/>
        <v>0.60223673179135162</v>
      </c>
      <c r="K14" s="271"/>
      <c r="M14" s="90"/>
    </row>
    <row r="15" spans="1:13" ht="20.25" customHeight="1" x14ac:dyDescent="0.25">
      <c r="A15" s="321"/>
      <c r="B15" s="86" t="s">
        <v>288</v>
      </c>
      <c r="C15" s="87" t="s">
        <v>55</v>
      </c>
      <c r="D15" s="88">
        <f>'Realisasi Sept'!D31+'Realisasi Sept'!D41+'Realisasi Sept'!D59+'Realisasi Sept'!D64+'Realisasi Sept'!D98</f>
        <v>4579475000</v>
      </c>
      <c r="E15" s="173">
        <f>'Rkp Okt'!G15</f>
        <v>1826989450</v>
      </c>
      <c r="F15" s="88">
        <f>'Realisasi Nov'!F30+'Realisasi Nov'!F59+'Realisasi Nov'!F64+'Realisasi Nov'!F98</f>
        <v>211917150</v>
      </c>
      <c r="G15" s="88">
        <f>E15+F15</f>
        <v>2038906600</v>
      </c>
      <c r="H15" s="245">
        <f t="shared" si="2"/>
        <v>0.44522714940031338</v>
      </c>
      <c r="M15" s="90"/>
    </row>
    <row r="16" spans="1:13" ht="20.25" customHeight="1" x14ac:dyDescent="0.25">
      <c r="A16" s="321"/>
      <c r="B16" s="86" t="s">
        <v>285</v>
      </c>
      <c r="C16" s="87" t="s">
        <v>444</v>
      </c>
      <c r="D16" s="88">
        <f>'Realisasi Sept'!D45+'Realisasi Sept'!D54+'Realisasi Sept'!D69+'Realisasi Sept'!D81+'Realisasi Sept'!D93</f>
        <v>28403965000</v>
      </c>
      <c r="E16" s="173">
        <f>'Rkp Okt'!G16</f>
        <v>19419530350</v>
      </c>
      <c r="F16" s="88">
        <f>'Realisasi Nov'!F45+'Realisasi Nov'!F54+'Realisasi Nov'!F69+'Realisasi Nov'!F81+'Realisasi Nov'!F93</f>
        <v>2131214400</v>
      </c>
      <c r="G16" s="88">
        <f t="shared" ref="G16:G19" si="4">E16+F16</f>
        <v>21550744750</v>
      </c>
      <c r="H16" s="245">
        <f t="shared" si="2"/>
        <v>0.75872311312874807</v>
      </c>
      <c r="M16" s="90"/>
    </row>
    <row r="17" spans="1:13" ht="20.25" customHeight="1" x14ac:dyDescent="0.25">
      <c r="A17" s="321"/>
      <c r="B17" s="86" t="s">
        <v>298</v>
      </c>
      <c r="C17" s="87" t="s">
        <v>60</v>
      </c>
      <c r="D17" s="88">
        <f>'Realisasi Sept'!D38+'Realisasi Sept'!D51+'Realisasi Sept'!D76</f>
        <v>15002000000</v>
      </c>
      <c r="E17" s="173">
        <f>'Rkp Okt'!G17</f>
        <v>5095628048.1700001</v>
      </c>
      <c r="F17" s="88">
        <f>'Realisasi Nov'!F38+'Realisasi Nov'!F51+'Realisasi Nov'!F76</f>
        <v>213315161</v>
      </c>
      <c r="G17" s="88">
        <f t="shared" si="4"/>
        <v>5308943209.1700001</v>
      </c>
      <c r="H17" s="245">
        <f t="shared" si="2"/>
        <v>0.35388236296293829</v>
      </c>
      <c r="M17" s="90"/>
    </row>
    <row r="18" spans="1:13" ht="31.5" customHeight="1" x14ac:dyDescent="0.25">
      <c r="A18" s="320" t="s">
        <v>46</v>
      </c>
      <c r="B18" s="256" t="s">
        <v>347</v>
      </c>
      <c r="C18" s="257" t="s">
        <v>266</v>
      </c>
      <c r="D18" s="258">
        <f>'Realisasi Sept'!D102</f>
        <v>1663748324</v>
      </c>
      <c r="E18" s="258">
        <f>'Rkp Okt'!G18</f>
        <v>1079761191</v>
      </c>
      <c r="F18" s="258">
        <f>'Realisasi Nov'!F102</f>
        <v>0</v>
      </c>
      <c r="G18" s="260">
        <f t="shared" si="4"/>
        <v>1079761191</v>
      </c>
      <c r="H18" s="259">
        <f t="shared" si="2"/>
        <v>0.64899310516149922</v>
      </c>
      <c r="I18" s="273"/>
      <c r="M18" s="90"/>
    </row>
    <row r="19" spans="1:13" ht="20.25" customHeight="1" x14ac:dyDescent="0.25">
      <c r="A19" s="322" t="s">
        <v>8</v>
      </c>
      <c r="B19" s="266" t="s">
        <v>348</v>
      </c>
      <c r="C19" s="267" t="s">
        <v>96</v>
      </c>
      <c r="D19" s="268">
        <f>'Realisasi Sept'!D108</f>
        <v>171911765691</v>
      </c>
      <c r="E19" s="258">
        <f>'Rkp Okt'!G19</f>
        <v>161629312084.19</v>
      </c>
      <c r="F19" s="268">
        <f>'Realisasi Nov'!F108</f>
        <v>24873535958.059998</v>
      </c>
      <c r="G19" s="260">
        <f t="shared" si="4"/>
        <v>186502848042.25</v>
      </c>
      <c r="H19" s="269">
        <f t="shared" si="2"/>
        <v>1.0848754143883119</v>
      </c>
      <c r="M19" s="90"/>
    </row>
    <row r="20" spans="1:13" ht="20.25" customHeight="1" x14ac:dyDescent="0.25">
      <c r="A20" s="149" t="s">
        <v>163</v>
      </c>
      <c r="B20" s="150" t="s">
        <v>164</v>
      </c>
      <c r="C20" s="151" t="s">
        <v>268</v>
      </c>
      <c r="D20" s="155">
        <f>SUM(D21+D28)</f>
        <v>939777284241.33008</v>
      </c>
      <c r="E20" s="155">
        <f t="shared" ref="E20:G20" si="5">SUM(E21+E28)</f>
        <v>723870163290</v>
      </c>
      <c r="F20" s="155">
        <f>SUM(F21+F28)</f>
        <v>64879405171</v>
      </c>
      <c r="G20" s="155">
        <f t="shared" si="5"/>
        <v>788749568461</v>
      </c>
      <c r="H20" s="243">
        <f t="shared" si="2"/>
        <v>0.83929414094930721</v>
      </c>
      <c r="K20" s="271"/>
    </row>
    <row r="21" spans="1:13" ht="20.25" customHeight="1" x14ac:dyDescent="0.25">
      <c r="A21" s="156" t="s">
        <v>416</v>
      </c>
      <c r="B21" s="157" t="s">
        <v>350</v>
      </c>
      <c r="C21" s="158" t="s">
        <v>351</v>
      </c>
      <c r="D21" s="159">
        <f>SUM(D22+D27)</f>
        <v>794763838753</v>
      </c>
      <c r="E21" s="159">
        <f t="shared" ref="E21:G21" si="6">SUM(E22+E27)</f>
        <v>620159044260</v>
      </c>
      <c r="F21" s="159">
        <f t="shared" si="6"/>
        <v>49811612750</v>
      </c>
      <c r="G21" s="159">
        <f t="shared" si="6"/>
        <v>669970657010</v>
      </c>
      <c r="H21" s="246">
        <f t="shared" si="2"/>
        <v>0.84298080051200752</v>
      </c>
      <c r="K21" s="271"/>
    </row>
    <row r="22" spans="1:13" ht="20.25" customHeight="1" x14ac:dyDescent="0.25">
      <c r="A22" s="160" t="s">
        <v>89</v>
      </c>
      <c r="B22" s="161" t="s">
        <v>352</v>
      </c>
      <c r="C22" s="162" t="s">
        <v>435</v>
      </c>
      <c r="D22" s="163">
        <f>SUM(D23:D26)</f>
        <v>774402942753</v>
      </c>
      <c r="E22" s="163">
        <f t="shared" ref="E22:G22" si="7">SUM(E23:E26)</f>
        <v>611295720260</v>
      </c>
      <c r="F22" s="163">
        <f>SUM(F23:F26)</f>
        <v>49811612750</v>
      </c>
      <c r="G22" s="163">
        <f t="shared" si="7"/>
        <v>661107333010</v>
      </c>
      <c r="H22" s="247">
        <f t="shared" si="2"/>
        <v>0.85369940700349811</v>
      </c>
    </row>
    <row r="23" spans="1:13" ht="20.25" customHeight="1" x14ac:dyDescent="0.25">
      <c r="A23" s="323" t="s">
        <v>13</v>
      </c>
      <c r="B23" s="147" t="s">
        <v>353</v>
      </c>
      <c r="C23" s="148" t="s">
        <v>354</v>
      </c>
      <c r="D23" s="173">
        <v>162373681000</v>
      </c>
      <c r="E23" s="173">
        <f>'Rkp Okt'!G23</f>
        <v>125183583976</v>
      </c>
      <c r="F23" s="173">
        <f>'Realisasi Nov'!F235</f>
        <v>4301586350</v>
      </c>
      <c r="G23" s="173">
        <f>E23+F23</f>
        <v>129485170326</v>
      </c>
      <c r="H23" s="244">
        <f t="shared" si="2"/>
        <v>0.79745171464087217</v>
      </c>
      <c r="K23" s="271"/>
    </row>
    <row r="24" spans="1:13" ht="20.25" customHeight="1" x14ac:dyDescent="0.25">
      <c r="A24" s="85" t="s">
        <v>16</v>
      </c>
      <c r="B24" s="86" t="s">
        <v>368</v>
      </c>
      <c r="C24" s="87" t="s">
        <v>436</v>
      </c>
      <c r="D24" s="88">
        <v>429554051000</v>
      </c>
      <c r="E24" s="173">
        <f>'Rkp Okt'!G24</f>
        <v>391946076138</v>
      </c>
      <c r="F24" s="88">
        <f>'Realisasi Nov'!F293</f>
        <v>35796181000</v>
      </c>
      <c r="G24" s="173">
        <f t="shared" ref="G24:G26" si="8">E24+F24</f>
        <v>427742257138</v>
      </c>
      <c r="H24" s="248">
        <f t="shared" si="2"/>
        <v>0.99578215161099715</v>
      </c>
    </row>
    <row r="25" spans="1:13" ht="20.25" customHeight="1" x14ac:dyDescent="0.25">
      <c r="A25" s="85" t="s">
        <v>86</v>
      </c>
      <c r="B25" s="86" t="s">
        <v>370</v>
      </c>
      <c r="C25" s="87" t="s">
        <v>437</v>
      </c>
      <c r="D25" s="88">
        <v>62721068973</v>
      </c>
      <c r="E25" s="173">
        <f>'Rkp Okt'!G25</f>
        <v>47147247079</v>
      </c>
      <c r="F25" s="88">
        <f>'Realisasi Nov'!F295</f>
        <v>9404395400</v>
      </c>
      <c r="G25" s="173">
        <f>E25+F25</f>
        <v>56551642479</v>
      </c>
      <c r="H25" s="248">
        <f t="shared" si="2"/>
        <v>0.90163709587513885</v>
      </c>
      <c r="K25" s="271"/>
    </row>
    <row r="26" spans="1:13" ht="20.25" customHeight="1" x14ac:dyDescent="0.25">
      <c r="A26" s="91" t="s">
        <v>95</v>
      </c>
      <c r="B26" s="153" t="s">
        <v>384</v>
      </c>
      <c r="C26" s="154" t="s">
        <v>438</v>
      </c>
      <c r="D26" s="174">
        <v>119754141780</v>
      </c>
      <c r="E26" s="173">
        <f>'Rkp Okt'!G26</f>
        <v>47018813067</v>
      </c>
      <c r="F26" s="174">
        <f>'Realisasi Nov'!F365</f>
        <v>309450000</v>
      </c>
      <c r="G26" s="173">
        <f t="shared" si="8"/>
        <v>47328263067</v>
      </c>
      <c r="H26" s="245">
        <f t="shared" si="2"/>
        <v>0.39521190969700754</v>
      </c>
    </row>
    <row r="27" spans="1:13" ht="15" x14ac:dyDescent="0.25">
      <c r="A27" s="160" t="s">
        <v>91</v>
      </c>
      <c r="B27" s="161" t="s">
        <v>396</v>
      </c>
      <c r="C27" s="162" t="s">
        <v>439</v>
      </c>
      <c r="D27" s="163">
        <v>20360896000</v>
      </c>
      <c r="E27" s="163">
        <f>'Rkp Okt'!G27</f>
        <v>8863324000</v>
      </c>
      <c r="F27" s="163">
        <f>'Realisasi Nov'!F410</f>
        <v>0</v>
      </c>
      <c r="G27" s="163">
        <f>E27+F27</f>
        <v>8863324000</v>
      </c>
      <c r="H27" s="420">
        <f t="shared" si="2"/>
        <v>0.43531109829351322</v>
      </c>
    </row>
    <row r="28" spans="1:13" ht="20.25" customHeight="1" x14ac:dyDescent="0.25">
      <c r="A28" s="156" t="s">
        <v>440</v>
      </c>
      <c r="B28" s="157" t="s">
        <v>398</v>
      </c>
      <c r="C28" s="158" t="s">
        <v>399</v>
      </c>
      <c r="D28" s="159">
        <f>SUM(D29:D30)</f>
        <v>145013445488.33002</v>
      </c>
      <c r="E28" s="159">
        <f t="shared" ref="E28:F28" si="9">SUM(E29:E30)</f>
        <v>103711119030</v>
      </c>
      <c r="F28" s="159">
        <f t="shared" si="9"/>
        <v>15067792421</v>
      </c>
      <c r="G28" s="159">
        <f>E28+F28</f>
        <v>118778911451</v>
      </c>
      <c r="H28" s="246">
        <f t="shared" si="2"/>
        <v>0.8190889544829052</v>
      </c>
    </row>
    <row r="29" spans="1:13" ht="20.25" customHeight="1" x14ac:dyDescent="0.25">
      <c r="A29" s="323" t="s">
        <v>89</v>
      </c>
      <c r="B29" s="147" t="s">
        <v>400</v>
      </c>
      <c r="C29" s="148" t="s">
        <v>403</v>
      </c>
      <c r="D29" s="173">
        <v>135038655888.33</v>
      </c>
      <c r="E29" s="173">
        <f>'Rkp Okt'!G29</f>
        <v>98095119030</v>
      </c>
      <c r="F29" s="173">
        <f>'Realisasi Nov'!F418</f>
        <v>13165792421</v>
      </c>
      <c r="G29" s="173">
        <f>E29+F29</f>
        <v>111260911451</v>
      </c>
      <c r="H29" s="244">
        <f t="shared" si="2"/>
        <v>0.82391897874788556</v>
      </c>
    </row>
    <row r="30" spans="1:13" ht="20.25" customHeight="1" x14ac:dyDescent="0.25">
      <c r="A30" s="91" t="s">
        <v>91</v>
      </c>
      <c r="B30" s="153" t="s">
        <v>425</v>
      </c>
      <c r="C30" s="154" t="s">
        <v>427</v>
      </c>
      <c r="D30" s="174">
        <v>9974789600</v>
      </c>
      <c r="E30" s="173">
        <f>'Rkp Okt'!G30</f>
        <v>5616000000</v>
      </c>
      <c r="F30" s="174">
        <f>'Realisasi Nov'!F431</f>
        <v>1902000000</v>
      </c>
      <c r="G30" s="173">
        <f>E30+F30</f>
        <v>7518000000</v>
      </c>
      <c r="H30" s="244">
        <f t="shared" si="2"/>
        <v>0.75370010812057631</v>
      </c>
    </row>
    <row r="31" spans="1:13" ht="20.25" customHeight="1" x14ac:dyDescent="0.25">
      <c r="A31" s="149" t="s">
        <v>241</v>
      </c>
      <c r="B31" s="150" t="s">
        <v>242</v>
      </c>
      <c r="C31" s="151" t="s">
        <v>243</v>
      </c>
      <c r="D31" s="155">
        <f t="shared" ref="D31:G33" si="10">D32</f>
        <v>0</v>
      </c>
      <c r="E31" s="155">
        <f t="shared" si="10"/>
        <v>0</v>
      </c>
      <c r="F31" s="155">
        <f t="shared" si="10"/>
        <v>0</v>
      </c>
      <c r="G31" s="155">
        <f t="shared" si="10"/>
        <v>0</v>
      </c>
      <c r="H31" s="392" t="e">
        <f t="shared" si="2"/>
        <v>#DIV/0!</v>
      </c>
    </row>
    <row r="32" spans="1:13" ht="34.5" customHeight="1" x14ac:dyDescent="0.25">
      <c r="A32" s="84"/>
      <c r="B32" s="147" t="s">
        <v>418</v>
      </c>
      <c r="C32" s="250" t="s">
        <v>441</v>
      </c>
      <c r="D32" s="258">
        <f>D33</f>
        <v>0</v>
      </c>
      <c r="E32" s="173"/>
      <c r="F32" s="173">
        <f>F33</f>
        <v>0</v>
      </c>
      <c r="G32" s="173">
        <f>E32+F32</f>
        <v>0</v>
      </c>
      <c r="H32" s="393" t="e">
        <f t="shared" si="2"/>
        <v>#DIV/0!</v>
      </c>
    </row>
    <row r="33" spans="1:10" ht="20.25" customHeight="1" x14ac:dyDescent="0.25">
      <c r="A33" s="85"/>
      <c r="B33" s="86" t="s">
        <v>420</v>
      </c>
      <c r="C33" s="87" t="s">
        <v>442</v>
      </c>
      <c r="D33" s="260">
        <f t="shared" si="10"/>
        <v>0</v>
      </c>
      <c r="E33" s="173"/>
      <c r="F33" s="88">
        <f>'Realisasi Agustus'!G452</f>
        <v>0</v>
      </c>
      <c r="G33" s="173">
        <f t="shared" ref="G33" si="11">E33+F33</f>
        <v>0</v>
      </c>
      <c r="H33" s="394" t="e">
        <f t="shared" si="2"/>
        <v>#DIV/0!</v>
      </c>
    </row>
    <row r="34" spans="1:10" ht="20.25" customHeight="1" x14ac:dyDescent="0.25">
      <c r="A34" s="91" t="s">
        <v>89</v>
      </c>
      <c r="B34" s="86" t="s">
        <v>422</v>
      </c>
      <c r="C34" s="87" t="s">
        <v>423</v>
      </c>
      <c r="D34" s="164">
        <v>0</v>
      </c>
      <c r="E34" s="173">
        <f>'Rkp Agustus'!H34</f>
        <v>0</v>
      </c>
      <c r="F34" s="174">
        <f>'Realisasi Sept'!F444</f>
        <v>0</v>
      </c>
      <c r="G34" s="173">
        <f>F34</f>
        <v>0</v>
      </c>
      <c r="H34" s="286" t="e">
        <f t="shared" si="2"/>
        <v>#DIV/0!</v>
      </c>
    </row>
    <row r="35" spans="1:10" ht="20.25" customHeight="1" thickBot="1" x14ac:dyDescent="0.3">
      <c r="A35" s="91" t="s">
        <v>91</v>
      </c>
      <c r="B35" s="86" t="s">
        <v>618</v>
      </c>
      <c r="C35" s="87" t="s">
        <v>620</v>
      </c>
      <c r="D35" s="164">
        <v>0</v>
      </c>
      <c r="E35" s="173">
        <f>'Rkp Agustus'!H35</f>
        <v>0</v>
      </c>
      <c r="F35" s="174">
        <f>'Realisasi Sept'!F458</f>
        <v>0</v>
      </c>
      <c r="G35" s="173">
        <f>F35</f>
        <v>0</v>
      </c>
      <c r="H35" s="286" t="e">
        <f t="shared" si="2"/>
        <v>#DIV/0!</v>
      </c>
    </row>
    <row r="36" spans="1:10" s="82" customFormat="1" ht="21.75" customHeight="1" thickBot="1" x14ac:dyDescent="0.3">
      <c r="A36" s="143"/>
      <c r="B36" s="144"/>
      <c r="C36" s="145" t="s">
        <v>472</v>
      </c>
      <c r="D36" s="146">
        <f>SUM(D12+D20+D31)</f>
        <v>1383352224486.3301</v>
      </c>
      <c r="E36" s="146">
        <f t="shared" ref="E36:G36" si="12">SUM(E12+E20+E31)</f>
        <v>1123356120214.72</v>
      </c>
      <c r="F36" s="146">
        <f t="shared" si="12"/>
        <v>100265347374.06</v>
      </c>
      <c r="G36" s="146">
        <f t="shared" si="12"/>
        <v>1223621467588.78</v>
      </c>
      <c r="H36" s="249">
        <f>G36/D36</f>
        <v>0.88453355980479831</v>
      </c>
      <c r="I36" s="274"/>
      <c r="J36" s="274"/>
    </row>
    <row r="37" spans="1:10" ht="20.25" hidden="1" customHeight="1" x14ac:dyDescent="0.25">
      <c r="A37" s="92" t="s">
        <v>95</v>
      </c>
      <c r="B37" s="93" t="s">
        <v>46</v>
      </c>
      <c r="C37" s="94" t="s">
        <v>251</v>
      </c>
      <c r="D37" s="95">
        <v>102132456348.7</v>
      </c>
      <c r="E37" s="173"/>
      <c r="F37" s="88" t="e">
        <f>D37-#REF!</f>
        <v>#REF!</v>
      </c>
      <c r="G37" s="173"/>
      <c r="H37" s="96" t="e">
        <f>SUM(F37/#REF!)</f>
        <v>#REF!</v>
      </c>
    </row>
    <row r="38" spans="1:10" ht="20.25" hidden="1" customHeight="1" x14ac:dyDescent="0.25">
      <c r="A38" s="85"/>
      <c r="B38" s="97" t="s">
        <v>252</v>
      </c>
      <c r="C38" s="98" t="s">
        <v>253</v>
      </c>
      <c r="D38" s="88">
        <v>102132456348.7</v>
      </c>
      <c r="E38" s="88"/>
      <c r="F38" s="88" t="e">
        <f>D38-#REF!</f>
        <v>#REF!</v>
      </c>
      <c r="G38" s="88"/>
      <c r="H38" s="89" t="e">
        <f>SUM(F38/#REF!)</f>
        <v>#REF!</v>
      </c>
    </row>
    <row r="39" spans="1:10" ht="20.25" hidden="1" customHeight="1" x14ac:dyDescent="0.25">
      <c r="A39" s="85"/>
      <c r="B39" s="99" t="s">
        <v>254</v>
      </c>
      <c r="C39" s="100" t="s">
        <v>255</v>
      </c>
      <c r="D39" s="88">
        <v>95076456348.699997</v>
      </c>
      <c r="E39" s="88"/>
      <c r="F39" s="88" t="e">
        <f>D39-#REF!</f>
        <v>#REF!</v>
      </c>
      <c r="G39" s="88"/>
      <c r="H39" s="89" t="e">
        <f>SUM(F39/#REF!)</f>
        <v>#REF!</v>
      </c>
    </row>
    <row r="40" spans="1:10" ht="20.25" hidden="1" customHeight="1" x14ac:dyDescent="0.25">
      <c r="A40" s="85"/>
      <c r="B40" s="99" t="s">
        <v>256</v>
      </c>
      <c r="C40" s="100" t="s">
        <v>257</v>
      </c>
      <c r="D40" s="88">
        <v>7056000000</v>
      </c>
      <c r="E40" s="88"/>
      <c r="F40" s="88" t="e">
        <f>D40-#REF!</f>
        <v>#REF!</v>
      </c>
      <c r="G40" s="88"/>
      <c r="H40" s="89">
        <v>1</v>
      </c>
    </row>
    <row r="41" spans="1:10" ht="20.25" hidden="1" customHeight="1" x14ac:dyDescent="0.25">
      <c r="A41" s="101"/>
      <c r="B41" s="102" t="s">
        <v>258</v>
      </c>
      <c r="C41" s="103" t="s">
        <v>259</v>
      </c>
      <c r="D41" s="104">
        <v>7056000000</v>
      </c>
      <c r="E41" s="174"/>
      <c r="F41" s="88" t="e">
        <f>D41-#REF!</f>
        <v>#REF!</v>
      </c>
      <c r="G41" s="174"/>
      <c r="H41" s="105">
        <v>1</v>
      </c>
    </row>
    <row r="42" spans="1:10" ht="26.25" hidden="1" customHeight="1" x14ac:dyDescent="0.25">
      <c r="A42" s="450" t="s">
        <v>263</v>
      </c>
      <c r="B42" s="451"/>
      <c r="C42" s="451"/>
      <c r="D42" s="106">
        <f>SUM(D37+D36)</f>
        <v>1485484680835.03</v>
      </c>
      <c r="E42" s="106"/>
      <c r="F42" s="106" t="e">
        <f>SUM(F37+F36)</f>
        <v>#REF!</v>
      </c>
      <c r="G42" s="106"/>
      <c r="H42" s="107" t="e">
        <f>SUM(F42/#REF!)</f>
        <v>#REF!</v>
      </c>
    </row>
    <row r="43" spans="1:10" ht="26.25" customHeight="1" x14ac:dyDescent="0.25">
      <c r="A43" s="108"/>
      <c r="B43" s="198"/>
      <c r="C43" s="197"/>
      <c r="D43" s="110"/>
      <c r="E43" s="110"/>
      <c r="F43" s="110"/>
      <c r="G43" s="110"/>
      <c r="H43" s="111"/>
    </row>
    <row r="44" spans="1:10" ht="21" customHeight="1" x14ac:dyDescent="0.25">
      <c r="A44" s="342"/>
      <c r="B44" s="398"/>
      <c r="C44" s="109"/>
      <c r="D44" s="112"/>
      <c r="E44" s="112"/>
      <c r="F44" s="291"/>
      <c r="G44" s="291" t="s">
        <v>720</v>
      </c>
      <c r="H44" s="113"/>
    </row>
    <row r="45" spans="1:10" ht="18" x14ac:dyDescent="0.25">
      <c r="A45" s="342"/>
      <c r="B45" s="398"/>
      <c r="C45" s="109"/>
      <c r="D45" s="114"/>
      <c r="E45" s="114"/>
      <c r="F45" s="291"/>
      <c r="G45" s="291" t="s">
        <v>630</v>
      </c>
      <c r="H45" s="255"/>
    </row>
    <row r="46" spans="1:10" ht="21" customHeight="1" x14ac:dyDescent="0.25">
      <c r="B46" s="398"/>
      <c r="C46" s="109"/>
      <c r="D46" s="114"/>
      <c r="E46" s="114"/>
      <c r="F46" s="291"/>
      <c r="G46" s="291"/>
      <c r="H46" s="255"/>
    </row>
    <row r="47" spans="1:10" ht="15.75" customHeight="1" x14ac:dyDescent="0.25">
      <c r="B47" s="398"/>
      <c r="C47" s="109"/>
      <c r="D47" s="116"/>
      <c r="E47" s="116"/>
      <c r="F47" s="291"/>
      <c r="G47" s="291"/>
      <c r="H47" s="117"/>
    </row>
    <row r="48" spans="1:10" ht="15.75" customHeight="1" x14ac:dyDescent="0.25">
      <c r="B48" s="398"/>
      <c r="C48" s="109"/>
      <c r="D48" s="116"/>
      <c r="E48" s="116"/>
      <c r="F48" s="291"/>
      <c r="G48" s="291"/>
      <c r="H48" s="117"/>
    </row>
    <row r="49" spans="2:8" ht="15.75" customHeight="1" x14ac:dyDescent="0.25">
      <c r="B49" s="398"/>
      <c r="C49" s="109" t="s">
        <v>267</v>
      </c>
      <c r="D49" s="116"/>
      <c r="E49" s="116"/>
      <c r="F49" s="292"/>
      <c r="G49" s="292" t="s">
        <v>579</v>
      </c>
      <c r="H49" s="117"/>
    </row>
    <row r="50" spans="2:8" ht="15.75" customHeight="1" x14ac:dyDescent="0.25">
      <c r="B50" s="398"/>
      <c r="C50" s="109"/>
      <c r="D50" s="116"/>
      <c r="E50" s="116"/>
      <c r="F50" s="291"/>
      <c r="G50" s="291" t="s">
        <v>577</v>
      </c>
      <c r="H50" s="117"/>
    </row>
    <row r="51" spans="2:8" ht="22.5" customHeight="1" x14ac:dyDescent="0.25">
      <c r="C51" s="118"/>
      <c r="D51" s="119"/>
      <c r="E51" s="119"/>
      <c r="F51" s="291"/>
      <c r="G51" s="291" t="s">
        <v>576</v>
      </c>
      <c r="H51" s="120"/>
    </row>
    <row r="52" spans="2:8" ht="20.25" customHeight="1" x14ac:dyDescent="0.25">
      <c r="C52" s="118"/>
      <c r="D52" s="112"/>
      <c r="E52" s="112"/>
      <c r="F52" s="115"/>
      <c r="G52" s="115"/>
      <c r="H52" s="113"/>
    </row>
    <row r="53" spans="2:8" ht="13.15" customHeight="1" x14ac:dyDescent="0.25">
      <c r="C53" s="118"/>
      <c r="D53" s="112"/>
      <c r="E53" s="112"/>
      <c r="H53" s="113"/>
    </row>
    <row r="54" spans="2:8" ht="13.15" customHeight="1" x14ac:dyDescent="0.25">
      <c r="C54" s="118"/>
      <c r="D54" s="112"/>
      <c r="E54" s="112"/>
      <c r="F54" s="113"/>
      <c r="G54" s="113"/>
      <c r="H54" s="113"/>
    </row>
    <row r="55" spans="2:8" ht="13.15" customHeight="1" x14ac:dyDescent="0.25">
      <c r="C55" s="118"/>
      <c r="D55" s="112"/>
      <c r="E55" s="112"/>
      <c r="F55" s="113"/>
      <c r="G55" s="113"/>
      <c r="H55" s="113"/>
    </row>
    <row r="56" spans="2:8" ht="13.15" customHeight="1" x14ac:dyDescent="0.25">
      <c r="C56" s="118"/>
      <c r="D56" s="118"/>
      <c r="E56" s="118"/>
    </row>
    <row r="57" spans="2:8" ht="13.15" customHeight="1" x14ac:dyDescent="0.25">
      <c r="C57" s="118"/>
      <c r="D57" s="118"/>
      <c r="E57" s="118"/>
    </row>
    <row r="58" spans="2:8" ht="13.15" customHeight="1" x14ac:dyDescent="0.25">
      <c r="C58" s="118"/>
      <c r="D58" s="118"/>
      <c r="E58" s="118"/>
    </row>
    <row r="59" spans="2:8" ht="13.15" customHeight="1" x14ac:dyDescent="0.25">
      <c r="C59" s="118"/>
      <c r="D59" s="118"/>
      <c r="E59" s="118"/>
    </row>
    <row r="60" spans="2:8" ht="13.15" customHeight="1" x14ac:dyDescent="0.25">
      <c r="C60" s="118"/>
      <c r="D60" s="118"/>
      <c r="E60" s="118"/>
    </row>
    <row r="61" spans="2:8" ht="13.15" customHeight="1" x14ac:dyDescent="0.25">
      <c r="C61" s="118"/>
      <c r="D61" s="118"/>
      <c r="E61" s="118"/>
    </row>
    <row r="62" spans="2:8" ht="13.15" customHeight="1" x14ac:dyDescent="0.25">
      <c r="C62" s="118"/>
      <c r="D62" s="118"/>
      <c r="E62" s="118"/>
    </row>
  </sheetData>
  <mergeCells count="12">
    <mergeCell ref="F6:H6"/>
    <mergeCell ref="F7:H7"/>
    <mergeCell ref="A42:C42"/>
    <mergeCell ref="B2:D2"/>
    <mergeCell ref="B3:D3"/>
    <mergeCell ref="B4:D4"/>
    <mergeCell ref="B5:C5"/>
    <mergeCell ref="A8:A9"/>
    <mergeCell ref="B8:B9"/>
    <mergeCell ref="C8:C9"/>
    <mergeCell ref="E8:G8"/>
    <mergeCell ref="H8:H9"/>
  </mergeCells>
  <printOptions horizontalCentered="1"/>
  <pageMargins left="0.6692913385826772" right="1.0236220472440944" top="0.54" bottom="0.27559055118110237" header="0.23622047244094491" footer="0.33"/>
  <pageSetup paperSize="9" scale="6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O480"/>
  <sheetViews>
    <sheetView tabSelected="1" zoomScale="70" zoomScaleNormal="70" workbookViewId="0">
      <pane ySplit="9" topLeftCell="A204" activePane="bottomLeft" state="frozen"/>
      <selection activeCell="I30" sqref="I30"/>
      <selection pane="bottomLeft" activeCell="L205" sqref="L205"/>
    </sheetView>
  </sheetViews>
  <sheetFormatPr defaultColWidth="9.28515625" defaultRowHeight="18" x14ac:dyDescent="0.25"/>
  <cols>
    <col min="1" max="1" width="7" style="4" customWidth="1"/>
    <col min="2" max="2" width="25.140625" style="4" customWidth="1"/>
    <col min="3" max="3" width="82.7109375" style="4" customWidth="1"/>
    <col min="4" max="6" width="28.42578125" style="175" customWidth="1"/>
    <col min="7" max="7" width="30.7109375" style="175" customWidth="1"/>
    <col min="8" max="8" width="16" style="175" customWidth="1"/>
    <col min="9" max="9" width="56.42578125" style="4" hidden="1" customWidth="1"/>
    <col min="10" max="10" width="31.140625" style="294" bestFit="1" customWidth="1"/>
    <col min="11" max="11" width="29.7109375" style="428" bestFit="1" customWidth="1"/>
    <col min="12" max="12" width="28.42578125" style="4" bestFit="1" customWidth="1"/>
    <col min="13" max="13" width="29.7109375" style="4" customWidth="1"/>
    <col min="14" max="16384" width="9.28515625" style="4"/>
  </cols>
  <sheetData>
    <row r="1" spans="1:15" x14ac:dyDescent="0.25">
      <c r="A1" s="1"/>
      <c r="B1" s="1"/>
      <c r="C1" s="2"/>
      <c r="I1" s="3"/>
    </row>
    <row r="2" spans="1:15" ht="25.5" x14ac:dyDescent="0.25">
      <c r="A2" s="1"/>
      <c r="B2" s="444" t="s">
        <v>0</v>
      </c>
      <c r="C2" s="444"/>
      <c r="E2" s="5" t="s">
        <v>486</v>
      </c>
      <c r="I2" s="1"/>
      <c r="K2" s="429"/>
    </row>
    <row r="3" spans="1:15" x14ac:dyDescent="0.25">
      <c r="A3" s="1"/>
      <c r="B3" s="445" t="s">
        <v>480</v>
      </c>
      <c r="C3" s="445"/>
      <c r="E3" s="5" t="s">
        <v>631</v>
      </c>
      <c r="K3" s="429"/>
    </row>
    <row r="4" spans="1:15" x14ac:dyDescent="0.25">
      <c r="A4" s="1"/>
      <c r="B4" s="446" t="s">
        <v>481</v>
      </c>
      <c r="C4" s="446"/>
      <c r="E4" s="6" t="s">
        <v>727</v>
      </c>
      <c r="K4" s="430"/>
    </row>
    <row r="5" spans="1:15" ht="19.5" x14ac:dyDescent="0.25">
      <c r="A5" s="1"/>
      <c r="B5" s="447"/>
      <c r="C5" s="447"/>
      <c r="I5" s="1"/>
    </row>
    <row r="6" spans="1:15" ht="18.75" thickBot="1" x14ac:dyDescent="0.3">
      <c r="A6" s="1"/>
      <c r="B6" s="415"/>
      <c r="C6" s="415"/>
      <c r="D6" s="8"/>
      <c r="E6" s="8"/>
      <c r="F6" s="448" t="s">
        <v>732</v>
      </c>
      <c r="G6" s="448"/>
      <c r="H6" s="448"/>
      <c r="I6" s="7"/>
    </row>
    <row r="7" spans="1:15" s="10" customFormat="1" ht="29.25" customHeight="1" x14ac:dyDescent="0.25">
      <c r="A7" s="435" t="s">
        <v>2</v>
      </c>
      <c r="B7" s="437" t="s">
        <v>3</v>
      </c>
      <c r="C7" s="437" t="s">
        <v>4</v>
      </c>
      <c r="D7" s="202" t="s">
        <v>5</v>
      </c>
      <c r="E7" s="441" t="s">
        <v>475</v>
      </c>
      <c r="F7" s="441"/>
      <c r="G7" s="441"/>
      <c r="H7" s="439" t="s">
        <v>6</v>
      </c>
      <c r="I7" s="442" t="s">
        <v>7</v>
      </c>
      <c r="J7" s="425"/>
      <c r="K7" s="431"/>
    </row>
    <row r="8" spans="1:15" s="10" customFormat="1" ht="29.25" customHeight="1" thickBot="1" x14ac:dyDescent="0.3">
      <c r="A8" s="436"/>
      <c r="B8" s="438"/>
      <c r="C8" s="438"/>
      <c r="D8" s="203" t="s">
        <v>697</v>
      </c>
      <c r="E8" s="204" t="s">
        <v>476</v>
      </c>
      <c r="F8" s="204" t="s">
        <v>477</v>
      </c>
      <c r="G8" s="204" t="s">
        <v>478</v>
      </c>
      <c r="H8" s="440"/>
      <c r="I8" s="443"/>
      <c r="J8" s="425"/>
      <c r="K8" s="431"/>
    </row>
    <row r="9" spans="1:15" s="16" customFormat="1" ht="14.65" customHeight="1" x14ac:dyDescent="0.25">
      <c r="A9" s="11">
        <v>1</v>
      </c>
      <c r="B9" s="12">
        <v>2</v>
      </c>
      <c r="C9" s="13">
        <v>3</v>
      </c>
      <c r="D9" s="14">
        <v>4</v>
      </c>
      <c r="E9" s="14">
        <v>5</v>
      </c>
      <c r="F9" s="14">
        <v>6</v>
      </c>
      <c r="G9" s="15" t="s">
        <v>582</v>
      </c>
      <c r="H9" s="235" t="s">
        <v>583</v>
      </c>
      <c r="I9" s="205">
        <v>9</v>
      </c>
      <c r="J9" s="426"/>
      <c r="K9" s="432"/>
    </row>
    <row r="10" spans="1:15" x14ac:dyDescent="0.25">
      <c r="A10" s="17"/>
      <c r="B10" s="18"/>
      <c r="C10" s="19"/>
      <c r="D10" s="20"/>
      <c r="E10" s="20"/>
      <c r="F10" s="20"/>
      <c r="G10" s="20"/>
      <c r="H10" s="21"/>
      <c r="I10" s="206"/>
    </row>
    <row r="11" spans="1:15" s="176" customFormat="1" ht="25.5" customHeight="1" x14ac:dyDescent="0.25">
      <c r="A11" s="169"/>
      <c r="B11" s="167" t="s">
        <v>8</v>
      </c>
      <c r="C11" s="185" t="s">
        <v>9</v>
      </c>
      <c r="D11" s="191">
        <f>SUM(D12+D232+D441)</f>
        <v>1392335943486</v>
      </c>
      <c r="E11" s="191">
        <f>SUM(E12+E232+E441)</f>
        <v>1223621467588.78</v>
      </c>
      <c r="F11" s="191">
        <f>SUM(F12+F232+F441)</f>
        <v>146576980877.08002</v>
      </c>
      <c r="G11" s="191">
        <f>SUM(G12+G232+G441)</f>
        <v>1370198448465.8599</v>
      </c>
      <c r="H11" s="236">
        <f>G11/D11</f>
        <v>0.9841004643141551</v>
      </c>
      <c r="I11" s="207"/>
      <c r="J11" s="326"/>
      <c r="K11" s="326"/>
      <c r="L11" s="328"/>
      <c r="M11" s="328"/>
    </row>
    <row r="12" spans="1:15" s="176" customFormat="1" ht="27.75" customHeight="1" x14ac:dyDescent="0.25">
      <c r="A12" s="126" t="s">
        <v>10</v>
      </c>
      <c r="B12" s="127" t="s">
        <v>11</v>
      </c>
      <c r="C12" s="41" t="s">
        <v>12</v>
      </c>
      <c r="D12" s="42">
        <f>SUM(D13+D14+D102+D108)</f>
        <v>452558659244.67004</v>
      </c>
      <c r="E12" s="42">
        <f t="shared" ref="E12:G12" si="0">SUM(E13+E14+E102+E108)</f>
        <v>434871899127.77997</v>
      </c>
      <c r="F12" s="42">
        <f t="shared" si="0"/>
        <v>29131844191.080002</v>
      </c>
      <c r="G12" s="42">
        <f t="shared" si="0"/>
        <v>464003743318.85999</v>
      </c>
      <c r="H12" s="237">
        <f>G12/D12</f>
        <v>1.0252897250784949</v>
      </c>
      <c r="I12" s="208"/>
      <c r="J12" s="294"/>
      <c r="K12" s="295"/>
    </row>
    <row r="13" spans="1:15" s="176" customFormat="1" ht="25.5" customHeight="1" x14ac:dyDescent="0.25">
      <c r="A13" s="169" t="s">
        <v>13</v>
      </c>
      <c r="B13" s="167" t="s">
        <v>14</v>
      </c>
      <c r="C13" s="185" t="s">
        <v>15</v>
      </c>
      <c r="D13" s="191">
        <f>SUM(D17+D18+D19+D20+D21+D25+D22+D23+D26+D24+D27)</f>
        <v>222013986230</v>
      </c>
      <c r="E13" s="191">
        <f t="shared" ref="E13:G13" si="1">SUM(E17+E18+E19+E20+E21+E25+E22+E23+E26+E24+E27)</f>
        <v>218390695335.35999</v>
      </c>
      <c r="F13" s="191">
        <f>SUM(F17+F18+F19+F20+F21+F25+F22+F23+F26+F24+F27)</f>
        <v>7941397980</v>
      </c>
      <c r="G13" s="191">
        <f t="shared" si="1"/>
        <v>226332093315.35999</v>
      </c>
      <c r="H13" s="236">
        <f>G13/D13</f>
        <v>1.019449707465216</v>
      </c>
      <c r="I13" s="209"/>
      <c r="J13" s="294"/>
      <c r="K13" s="296"/>
    </row>
    <row r="14" spans="1:15" s="176" customFormat="1" ht="25.5" customHeight="1" x14ac:dyDescent="0.25">
      <c r="A14" s="169" t="s">
        <v>16</v>
      </c>
      <c r="B14" s="167" t="s">
        <v>17</v>
      </c>
      <c r="C14" s="185" t="s">
        <v>18</v>
      </c>
      <c r="D14" s="191">
        <f>SUM(D29+D53+D58+D64+D69+D76+D80+D85+D97+D93+D44)</f>
        <v>47985440000</v>
      </c>
      <c r="E14" s="191">
        <f t="shared" ref="E14:G14" si="2">SUM(E29+E53+E58+E64+E69+E76+E80+E85+E97+E93+E44)</f>
        <v>28898594559.169998</v>
      </c>
      <c r="F14" s="191">
        <f t="shared" si="2"/>
        <v>3307773736</v>
      </c>
      <c r="G14" s="191">
        <f t="shared" si="2"/>
        <v>32206368295.169998</v>
      </c>
      <c r="H14" s="236">
        <f>G14/D14</f>
        <v>0.67116959425963374</v>
      </c>
      <c r="I14" s="209"/>
      <c r="J14" s="294"/>
      <c r="K14" s="296"/>
      <c r="L14" s="282"/>
      <c r="M14" s="282"/>
      <c r="N14" s="282"/>
      <c r="O14" s="282"/>
    </row>
    <row r="15" spans="1:15" s="176" customFormat="1" x14ac:dyDescent="0.25">
      <c r="A15" s="169"/>
      <c r="B15" s="22"/>
      <c r="C15" s="185"/>
      <c r="D15" s="191"/>
      <c r="E15" s="191"/>
      <c r="F15" s="191"/>
      <c r="G15" s="191"/>
      <c r="H15" s="236"/>
      <c r="I15" s="209"/>
      <c r="J15" s="294"/>
      <c r="K15" s="295"/>
      <c r="L15" s="282"/>
      <c r="M15" s="282"/>
      <c r="N15" s="282"/>
      <c r="O15" s="282"/>
    </row>
    <row r="16" spans="1:15" s="187" customFormat="1" ht="22.5" customHeight="1" x14ac:dyDescent="0.25">
      <c r="A16" s="23" t="s">
        <v>19</v>
      </c>
      <c r="B16" s="46" t="s">
        <v>281</v>
      </c>
      <c r="C16" s="185" t="s">
        <v>1</v>
      </c>
      <c r="D16" s="196">
        <f>SUM(D17:D27)</f>
        <v>222013986230</v>
      </c>
      <c r="E16" s="196">
        <f>SUM(E17:E27)</f>
        <v>218390695335.35999</v>
      </c>
      <c r="F16" s="196">
        <f>SUM(F17:F27)</f>
        <v>7941397980</v>
      </c>
      <c r="G16" s="191">
        <f>SUM(G17:G27)</f>
        <v>226332093315.35999</v>
      </c>
      <c r="H16" s="236">
        <f t="shared" ref="H16:H27" si="3">G16/D16</f>
        <v>1.019449707465216</v>
      </c>
      <c r="I16" s="210"/>
      <c r="J16" s="297"/>
      <c r="K16" s="298"/>
      <c r="L16" s="279"/>
      <c r="M16" s="279"/>
      <c r="N16" s="279"/>
      <c r="O16" s="279"/>
    </row>
    <row r="17" spans="1:15" s="176" customFormat="1" ht="18.75" customHeight="1" x14ac:dyDescent="0.25">
      <c r="A17" s="188"/>
      <c r="B17" s="177" t="s">
        <v>269</v>
      </c>
      <c r="C17" s="183" t="s">
        <v>20</v>
      </c>
      <c r="D17" s="192">
        <v>4550000000</v>
      </c>
      <c r="E17" s="192">
        <v>4607669257</v>
      </c>
      <c r="F17" s="192">
        <v>467121966</v>
      </c>
      <c r="G17" s="181">
        <f>E17+F17</f>
        <v>5074791223</v>
      </c>
      <c r="H17" s="24">
        <f t="shared" si="3"/>
        <v>1.1153387303296702</v>
      </c>
      <c r="I17" s="211" t="s">
        <v>21</v>
      </c>
      <c r="J17" s="294"/>
      <c r="K17" s="296"/>
      <c r="L17" s="282"/>
      <c r="M17" s="282"/>
      <c r="N17" s="282"/>
      <c r="O17" s="282"/>
    </row>
    <row r="18" spans="1:15" s="176" customFormat="1" ht="18.75" customHeight="1" x14ac:dyDescent="0.25">
      <c r="A18" s="188"/>
      <c r="B18" s="177" t="s">
        <v>270</v>
      </c>
      <c r="C18" s="183" t="s">
        <v>22</v>
      </c>
      <c r="D18" s="192">
        <v>10000000000</v>
      </c>
      <c r="E18" s="192">
        <v>10046737270</v>
      </c>
      <c r="F18" s="192">
        <f>1308728536+1000000</f>
        <v>1309728536</v>
      </c>
      <c r="G18" s="181">
        <f t="shared" ref="G18:G27" si="4">E18+F18</f>
        <v>11356465806</v>
      </c>
      <c r="H18" s="24">
        <f t="shared" si="3"/>
        <v>1.1356465806</v>
      </c>
      <c r="I18" s="212" t="s">
        <v>23</v>
      </c>
      <c r="J18" s="294"/>
      <c r="K18" s="296"/>
      <c r="L18" s="282"/>
      <c r="M18" s="282" t="s">
        <v>629</v>
      </c>
      <c r="N18" s="282"/>
      <c r="O18" s="282"/>
    </row>
    <row r="19" spans="1:15" s="176" customFormat="1" ht="18.75" customHeight="1" x14ac:dyDescent="0.25">
      <c r="A19" s="188"/>
      <c r="B19" s="177" t="s">
        <v>271</v>
      </c>
      <c r="C19" s="183" t="s">
        <v>24</v>
      </c>
      <c r="D19" s="192">
        <v>1800000000</v>
      </c>
      <c r="E19" s="192">
        <v>1810090771</v>
      </c>
      <c r="F19" s="192">
        <v>154310090</v>
      </c>
      <c r="G19" s="181">
        <f t="shared" si="4"/>
        <v>1964400861</v>
      </c>
      <c r="H19" s="24">
        <f t="shared" si="3"/>
        <v>1.0913338116666667</v>
      </c>
      <c r="I19" s="211" t="s">
        <v>25</v>
      </c>
      <c r="J19" s="294"/>
      <c r="K19" s="296"/>
      <c r="L19" s="282"/>
      <c r="M19" s="282"/>
      <c r="N19" s="282"/>
      <c r="O19" s="282"/>
    </row>
    <row r="20" spans="1:15" s="176" customFormat="1" ht="18.75" customHeight="1" x14ac:dyDescent="0.25">
      <c r="A20" s="188"/>
      <c r="B20" s="177" t="s">
        <v>272</v>
      </c>
      <c r="C20" s="183" t="s">
        <v>26</v>
      </c>
      <c r="D20" s="192">
        <v>2900000000</v>
      </c>
      <c r="E20" s="192">
        <v>2653576632</v>
      </c>
      <c r="F20" s="192">
        <v>294875023</v>
      </c>
      <c r="G20" s="181">
        <f t="shared" si="4"/>
        <v>2948451655</v>
      </c>
      <c r="H20" s="24">
        <f t="shared" si="3"/>
        <v>1.0167074672413794</v>
      </c>
      <c r="I20" s="211" t="s">
        <v>27</v>
      </c>
      <c r="J20" s="294"/>
      <c r="K20" s="296"/>
      <c r="L20" s="282"/>
      <c r="M20" s="282"/>
      <c r="N20" s="282"/>
      <c r="O20" s="282"/>
    </row>
    <row r="21" spans="1:15" s="176" customFormat="1" ht="18.75" customHeight="1" x14ac:dyDescent="0.25">
      <c r="A21" s="188"/>
      <c r="B21" s="177" t="s">
        <v>676</v>
      </c>
      <c r="C21" s="183" t="s">
        <v>677</v>
      </c>
      <c r="D21" s="192">
        <v>51000000000</v>
      </c>
      <c r="E21" s="192">
        <v>48635869357.360001</v>
      </c>
      <c r="F21" s="192">
        <f>3737016467+734559894</f>
        <v>4471576361</v>
      </c>
      <c r="G21" s="181">
        <f t="shared" si="4"/>
        <v>53107445718.360001</v>
      </c>
      <c r="H21" s="24">
        <f t="shared" si="3"/>
        <v>1.0413224650658823</v>
      </c>
      <c r="I21" s="211" t="s">
        <v>28</v>
      </c>
      <c r="J21" s="326"/>
      <c r="K21" s="296"/>
      <c r="L21" s="282" t="s">
        <v>671</v>
      </c>
      <c r="M21" s="282"/>
      <c r="N21" s="282"/>
      <c r="O21" s="282"/>
    </row>
    <row r="22" spans="1:15" s="176" customFormat="1" ht="18.75" customHeight="1" x14ac:dyDescent="0.25">
      <c r="A22" s="188"/>
      <c r="B22" s="177" t="s">
        <v>273</v>
      </c>
      <c r="C22" s="183" t="s">
        <v>31</v>
      </c>
      <c r="D22" s="192">
        <v>600000000</v>
      </c>
      <c r="E22" s="192">
        <v>698978403</v>
      </c>
      <c r="F22" s="192">
        <v>63441600</v>
      </c>
      <c r="G22" s="181">
        <f t="shared" si="4"/>
        <v>762420003</v>
      </c>
      <c r="H22" s="24">
        <f t="shared" si="3"/>
        <v>1.2707000049999999</v>
      </c>
      <c r="I22" s="213" t="s">
        <v>32</v>
      </c>
      <c r="J22" s="424"/>
      <c r="K22" s="296"/>
      <c r="L22" s="282"/>
      <c r="M22" s="282"/>
      <c r="N22" s="282"/>
      <c r="O22" s="282"/>
    </row>
    <row r="23" spans="1:15" s="176" customFormat="1" ht="18.75" customHeight="1" x14ac:dyDescent="0.25">
      <c r="A23" s="188"/>
      <c r="B23" s="177" t="s">
        <v>274</v>
      </c>
      <c r="C23" s="183" t="s">
        <v>33</v>
      </c>
      <c r="D23" s="192">
        <v>1100000000</v>
      </c>
      <c r="E23" s="192">
        <v>1065134773</v>
      </c>
      <c r="F23" s="192">
        <v>139804051</v>
      </c>
      <c r="G23" s="181">
        <f t="shared" si="4"/>
        <v>1204938824</v>
      </c>
      <c r="H23" s="24">
        <f t="shared" si="3"/>
        <v>1.095398930909091</v>
      </c>
      <c r="I23" s="213" t="s">
        <v>34</v>
      </c>
      <c r="J23" s="294"/>
      <c r="K23" s="296"/>
      <c r="L23" s="282"/>
      <c r="M23" s="282"/>
      <c r="N23" s="282"/>
      <c r="O23" s="282"/>
    </row>
    <row r="24" spans="1:15" s="176" customFormat="1" ht="18.75" customHeight="1" x14ac:dyDescent="0.25">
      <c r="A24" s="188"/>
      <c r="B24" s="177" t="s">
        <v>275</v>
      </c>
      <c r="C24" s="183" t="s">
        <v>35</v>
      </c>
      <c r="D24" s="192">
        <v>92000000</v>
      </c>
      <c r="E24" s="192">
        <v>95324640</v>
      </c>
      <c r="F24" s="192">
        <v>4133835</v>
      </c>
      <c r="G24" s="181">
        <f t="shared" si="4"/>
        <v>99458475</v>
      </c>
      <c r="H24" s="24">
        <f t="shared" si="3"/>
        <v>1.0810703804347825</v>
      </c>
      <c r="I24" s="213" t="s">
        <v>36</v>
      </c>
      <c r="J24" s="294"/>
      <c r="K24" s="296"/>
      <c r="L24" s="282"/>
      <c r="M24" s="282"/>
      <c r="N24" s="282"/>
      <c r="O24" s="282"/>
    </row>
    <row r="25" spans="1:15" s="176" customFormat="1" ht="18.75" customHeight="1" x14ac:dyDescent="0.25">
      <c r="A25" s="188"/>
      <c r="B25" s="177" t="s">
        <v>276</v>
      </c>
      <c r="C25" s="183" t="s">
        <v>29</v>
      </c>
      <c r="D25" s="192">
        <v>0</v>
      </c>
      <c r="E25" s="192">
        <v>0</v>
      </c>
      <c r="F25" s="192">
        <v>0</v>
      </c>
      <c r="G25" s="181">
        <f>E25+F25</f>
        <v>0</v>
      </c>
      <c r="H25" s="24"/>
      <c r="I25" s="214" t="s">
        <v>30</v>
      </c>
      <c r="J25" s="294"/>
      <c r="K25" s="296"/>
      <c r="L25" s="295"/>
      <c r="M25" s="295"/>
      <c r="N25" s="282"/>
      <c r="O25" s="282"/>
    </row>
    <row r="26" spans="1:15" s="176" customFormat="1" ht="18.75" customHeight="1" x14ac:dyDescent="0.25">
      <c r="A26" s="188"/>
      <c r="B26" s="177" t="s">
        <v>277</v>
      </c>
      <c r="C26" s="171" t="s">
        <v>278</v>
      </c>
      <c r="D26" s="178">
        <v>130971986230</v>
      </c>
      <c r="E26" s="192">
        <v>134567054576</v>
      </c>
      <c r="F26" s="178">
        <f>257991222+1524400</f>
        <v>259515622</v>
      </c>
      <c r="G26" s="181">
        <f t="shared" si="4"/>
        <v>134826570198</v>
      </c>
      <c r="H26" s="24">
        <f t="shared" si="3"/>
        <v>1.0294305987024657</v>
      </c>
      <c r="I26" s="213" t="s">
        <v>37</v>
      </c>
      <c r="J26" s="294"/>
      <c r="K26" s="296"/>
      <c r="L26" s="295"/>
      <c r="M26" s="295"/>
    </row>
    <row r="27" spans="1:15" s="176" customFormat="1" x14ac:dyDescent="0.25">
      <c r="A27" s="188"/>
      <c r="B27" s="177" t="s">
        <v>279</v>
      </c>
      <c r="C27" s="183" t="s">
        <v>38</v>
      </c>
      <c r="D27" s="178">
        <v>19000000000</v>
      </c>
      <c r="E27" s="192">
        <v>14210259656</v>
      </c>
      <c r="F27" s="178">
        <v>776890896</v>
      </c>
      <c r="G27" s="181">
        <f t="shared" si="4"/>
        <v>14987150552</v>
      </c>
      <c r="H27" s="24">
        <f t="shared" si="3"/>
        <v>0.78879739747368416</v>
      </c>
      <c r="I27" s="215" t="s">
        <v>474</v>
      </c>
      <c r="J27" s="294"/>
      <c r="K27" s="296"/>
      <c r="L27" s="295"/>
      <c r="M27" s="295"/>
    </row>
    <row r="28" spans="1:15" s="176" customFormat="1" x14ac:dyDescent="0.25">
      <c r="A28" s="169"/>
      <c r="B28" s="22"/>
      <c r="C28" s="25"/>
      <c r="D28" s="191"/>
      <c r="E28" s="192"/>
      <c r="F28" s="191"/>
      <c r="G28" s="196"/>
      <c r="H28" s="236"/>
      <c r="I28" s="216"/>
      <c r="J28" s="294"/>
      <c r="K28" s="295"/>
    </row>
    <row r="29" spans="1:15" s="187" customFormat="1" x14ac:dyDescent="0.25">
      <c r="A29" s="26" t="s">
        <v>39</v>
      </c>
      <c r="B29" s="22" t="s">
        <v>282</v>
      </c>
      <c r="C29" s="185" t="s">
        <v>40</v>
      </c>
      <c r="D29" s="196">
        <f>D30+D38</f>
        <v>1009950000</v>
      </c>
      <c r="E29" s="196">
        <f t="shared" ref="E29:G29" si="5">E30+E38</f>
        <v>635740000</v>
      </c>
      <c r="F29" s="196">
        <f t="shared" si="5"/>
        <v>45997000</v>
      </c>
      <c r="G29" s="196">
        <f t="shared" si="5"/>
        <v>681737000</v>
      </c>
      <c r="H29" s="236">
        <f t="shared" ref="H29:H39" si="6">G29/D29</f>
        <v>0.67502054557156299</v>
      </c>
      <c r="I29" s="216"/>
      <c r="J29" s="297"/>
      <c r="K29" s="298"/>
    </row>
    <row r="30" spans="1:15" s="187" customFormat="1" x14ac:dyDescent="0.25">
      <c r="A30" s="26" t="s">
        <v>413</v>
      </c>
      <c r="B30" s="170" t="s">
        <v>288</v>
      </c>
      <c r="C30" s="185" t="s">
        <v>55</v>
      </c>
      <c r="D30" s="196">
        <f>D31+D41</f>
        <v>1000000000</v>
      </c>
      <c r="E30" s="196">
        <f t="shared" ref="E30:G30" si="7">E31+E41</f>
        <v>598740000</v>
      </c>
      <c r="F30" s="196">
        <f t="shared" si="7"/>
        <v>45997000</v>
      </c>
      <c r="G30" s="196">
        <f t="shared" si="7"/>
        <v>644737000</v>
      </c>
      <c r="H30" s="236">
        <f t="shared" si="6"/>
        <v>0.644737</v>
      </c>
      <c r="I30" s="216"/>
      <c r="J30" s="297"/>
      <c r="K30" s="298"/>
    </row>
    <row r="31" spans="1:15" s="176" customFormat="1" x14ac:dyDescent="0.25">
      <c r="A31" s="188"/>
      <c r="B31" s="179" t="s">
        <v>488</v>
      </c>
      <c r="C31" s="185" t="s">
        <v>280</v>
      </c>
      <c r="D31" s="191">
        <f>SUM(D32:D35)</f>
        <v>750000000</v>
      </c>
      <c r="E31" s="191">
        <f t="shared" ref="E31:F31" si="8">SUM(E32:E35)</f>
        <v>354877000</v>
      </c>
      <c r="F31" s="191">
        <f t="shared" si="8"/>
        <v>38639000</v>
      </c>
      <c r="G31" s="196">
        <f>SUM(G32:G35)</f>
        <v>393516000</v>
      </c>
      <c r="H31" s="236">
        <f t="shared" si="6"/>
        <v>0.52468800000000004</v>
      </c>
      <c r="I31" s="207" t="s">
        <v>41</v>
      </c>
      <c r="J31" s="294"/>
      <c r="K31" s="295"/>
    </row>
    <row r="32" spans="1:15" s="176" customFormat="1" x14ac:dyDescent="0.25">
      <c r="A32" s="188"/>
      <c r="B32" s="177" t="s">
        <v>489</v>
      </c>
      <c r="C32" s="183" t="s">
        <v>42</v>
      </c>
      <c r="D32" s="192">
        <v>220000000</v>
      </c>
      <c r="E32" s="192">
        <v>67992000</v>
      </c>
      <c r="F32" s="192">
        <v>5169000</v>
      </c>
      <c r="G32" s="181">
        <f>E32+F32</f>
        <v>73161000</v>
      </c>
      <c r="H32" s="24">
        <f t="shared" si="6"/>
        <v>0.33255000000000001</v>
      </c>
      <c r="I32" s="207"/>
      <c r="J32" s="294"/>
      <c r="K32" s="295"/>
    </row>
    <row r="33" spans="1:11" s="176" customFormat="1" x14ac:dyDescent="0.25">
      <c r="A33" s="188"/>
      <c r="B33" s="177" t="s">
        <v>490</v>
      </c>
      <c r="C33" s="183" t="s">
        <v>43</v>
      </c>
      <c r="D33" s="192">
        <v>494000000</v>
      </c>
      <c r="E33" s="192">
        <v>231385000</v>
      </c>
      <c r="F33" s="192">
        <v>20330000</v>
      </c>
      <c r="G33" s="181">
        <f t="shared" ref="G33:G40" si="9">E33+F33</f>
        <v>251715000</v>
      </c>
      <c r="H33" s="24">
        <f t="shared" si="6"/>
        <v>0.50954453441295544</v>
      </c>
      <c r="I33" s="207"/>
      <c r="J33" s="294"/>
      <c r="K33" s="295"/>
    </row>
    <row r="34" spans="1:11" s="176" customFormat="1" x14ac:dyDescent="0.25">
      <c r="A34" s="188"/>
      <c r="B34" s="177" t="s">
        <v>491</v>
      </c>
      <c r="C34" s="183" t="s">
        <v>44</v>
      </c>
      <c r="D34" s="192">
        <v>36000000</v>
      </c>
      <c r="E34" s="192">
        <v>55500000</v>
      </c>
      <c r="F34" s="192">
        <v>13140000</v>
      </c>
      <c r="G34" s="181">
        <f t="shared" si="9"/>
        <v>68640000</v>
      </c>
      <c r="H34" s="24">
        <f t="shared" si="6"/>
        <v>1.9066666666666667</v>
      </c>
      <c r="I34" s="207"/>
      <c r="J34" s="294"/>
      <c r="K34" s="295"/>
    </row>
    <row r="35" spans="1:11" s="176" customFormat="1" hidden="1" x14ac:dyDescent="0.25">
      <c r="A35" s="188"/>
      <c r="B35" s="177"/>
      <c r="C35" s="183" t="s">
        <v>45</v>
      </c>
      <c r="D35" s="192"/>
      <c r="E35" s="192">
        <f>'Realisasi Nov'!G35</f>
        <v>0</v>
      </c>
      <c r="F35" s="192"/>
      <c r="G35" s="181">
        <f t="shared" si="9"/>
        <v>0</v>
      </c>
      <c r="H35" s="24" t="e">
        <f t="shared" si="6"/>
        <v>#DIV/0!</v>
      </c>
      <c r="I35" s="207"/>
      <c r="J35" s="294"/>
      <c r="K35" s="295"/>
    </row>
    <row r="36" spans="1:11" s="176" customFormat="1" ht="12.75" customHeight="1" x14ac:dyDescent="0.25">
      <c r="A36" s="188"/>
      <c r="B36" s="177"/>
      <c r="C36" s="183"/>
      <c r="D36" s="192"/>
      <c r="E36" s="192"/>
      <c r="F36" s="192"/>
      <c r="G36" s="181"/>
      <c r="H36" s="24"/>
      <c r="I36" s="207"/>
      <c r="J36" s="294"/>
      <c r="K36" s="295"/>
    </row>
    <row r="37" spans="1:11" s="176" customFormat="1" ht="15" customHeight="1" x14ac:dyDescent="0.25">
      <c r="A37" s="188"/>
      <c r="B37" s="177"/>
      <c r="C37" s="185" t="s">
        <v>60</v>
      </c>
      <c r="D37" s="192"/>
      <c r="E37" s="192"/>
      <c r="F37" s="192"/>
      <c r="G37" s="181"/>
      <c r="H37" s="24"/>
      <c r="I37" s="207"/>
      <c r="J37" s="294"/>
      <c r="K37" s="295"/>
    </row>
    <row r="38" spans="1:11" s="176" customFormat="1" ht="15" customHeight="1" x14ac:dyDescent="0.25">
      <c r="A38" s="188"/>
      <c r="B38" s="179" t="s">
        <v>305</v>
      </c>
      <c r="C38" s="385" t="s">
        <v>70</v>
      </c>
      <c r="D38" s="191">
        <f>D39</f>
        <v>9950000</v>
      </c>
      <c r="E38" s="191">
        <f t="shared" ref="E38:G38" si="10">E39</f>
        <v>37000000</v>
      </c>
      <c r="F38" s="191">
        <f t="shared" si="10"/>
        <v>0</v>
      </c>
      <c r="G38" s="196">
        <f t="shared" si="10"/>
        <v>37000000</v>
      </c>
      <c r="H38" s="236">
        <f t="shared" si="6"/>
        <v>3.7185929648241207</v>
      </c>
      <c r="I38" s="207"/>
      <c r="J38" s="294"/>
      <c r="K38" s="295"/>
    </row>
    <row r="39" spans="1:11" s="176" customFormat="1" ht="14.25" customHeight="1" x14ac:dyDescent="0.25">
      <c r="A39" s="188"/>
      <c r="B39" s="177" t="s">
        <v>511</v>
      </c>
      <c r="C39" s="166" t="s">
        <v>70</v>
      </c>
      <c r="D39" s="192">
        <v>9950000</v>
      </c>
      <c r="E39" s="192">
        <v>37000000</v>
      </c>
      <c r="F39" s="192">
        <v>0</v>
      </c>
      <c r="G39" s="181">
        <f t="shared" si="9"/>
        <v>37000000</v>
      </c>
      <c r="H39" s="24">
        <f t="shared" si="6"/>
        <v>3.7185929648241207</v>
      </c>
      <c r="I39" s="207"/>
      <c r="J39" s="294"/>
      <c r="K39" s="295"/>
    </row>
    <row r="40" spans="1:11" s="176" customFormat="1" ht="15" customHeight="1" x14ac:dyDescent="0.25">
      <c r="A40" s="188"/>
      <c r="B40" s="177"/>
      <c r="C40" s="166"/>
      <c r="D40" s="192"/>
      <c r="E40" s="192"/>
      <c r="F40" s="192"/>
      <c r="G40" s="181">
        <f t="shared" si="9"/>
        <v>0</v>
      </c>
      <c r="H40" s="24"/>
      <c r="I40" s="207"/>
      <c r="J40" s="294"/>
      <c r="K40" s="295"/>
    </row>
    <row r="41" spans="1:11" s="187" customFormat="1" x14ac:dyDescent="0.25">
      <c r="A41" s="26" t="s">
        <v>414</v>
      </c>
      <c r="B41" s="170" t="s">
        <v>492</v>
      </c>
      <c r="C41" s="185" t="s">
        <v>494</v>
      </c>
      <c r="D41" s="196">
        <f>D42</f>
        <v>250000000</v>
      </c>
      <c r="E41" s="196">
        <f t="shared" ref="E41:G41" si="11">E42</f>
        <v>243863000</v>
      </c>
      <c r="F41" s="196">
        <f t="shared" si="11"/>
        <v>7358000</v>
      </c>
      <c r="G41" s="196">
        <f t="shared" si="11"/>
        <v>251221000</v>
      </c>
      <c r="H41" s="236">
        <f>G41/D41</f>
        <v>1.0048840000000001</v>
      </c>
      <c r="I41" s="216"/>
      <c r="J41" s="297"/>
      <c r="K41" s="298"/>
    </row>
    <row r="42" spans="1:11" s="176" customFormat="1" x14ac:dyDescent="0.25">
      <c r="A42" s="188"/>
      <c r="B42" s="177" t="s">
        <v>493</v>
      </c>
      <c r="C42" s="183" t="s">
        <v>724</v>
      </c>
      <c r="D42" s="192">
        <v>250000000</v>
      </c>
      <c r="E42" s="192">
        <v>243863000</v>
      </c>
      <c r="F42" s="192">
        <v>7358000</v>
      </c>
      <c r="G42" s="181">
        <f>E42+F42</f>
        <v>251221000</v>
      </c>
      <c r="H42" s="24">
        <f>G42/D42</f>
        <v>1.0048840000000001</v>
      </c>
      <c r="I42" s="207" t="s">
        <v>41</v>
      </c>
      <c r="J42" s="294"/>
      <c r="K42" s="295"/>
    </row>
    <row r="43" spans="1:11" s="176" customFormat="1" ht="15" customHeight="1" x14ac:dyDescent="0.25">
      <c r="A43" s="188"/>
      <c r="B43" s="177"/>
      <c r="C43" s="166"/>
      <c r="D43" s="192"/>
      <c r="E43" s="192"/>
      <c r="F43" s="192"/>
      <c r="G43" s="181"/>
      <c r="H43" s="24"/>
      <c r="I43" s="207"/>
      <c r="J43" s="294"/>
      <c r="K43" s="295"/>
    </row>
    <row r="44" spans="1:11" s="176" customFormat="1" x14ac:dyDescent="0.25">
      <c r="A44" s="168" t="s">
        <v>46</v>
      </c>
      <c r="B44" s="22" t="s">
        <v>592</v>
      </c>
      <c r="C44" s="185" t="s">
        <v>594</v>
      </c>
      <c r="D44" s="196">
        <f>D45+D51</f>
        <v>15125050000</v>
      </c>
      <c r="E44" s="196">
        <f t="shared" ref="E44:G44" si="12">E45+E51</f>
        <v>5421293209.1700001</v>
      </c>
      <c r="F44" s="196">
        <f t="shared" si="12"/>
        <v>942586936</v>
      </c>
      <c r="G44" s="196">
        <f t="shared" si="12"/>
        <v>6363880145.1700001</v>
      </c>
      <c r="H44" s="236">
        <f t="shared" ref="H44:H51" si="13">G44/D44</f>
        <v>0.42075101537978388</v>
      </c>
      <c r="I44" s="207"/>
      <c r="J44" s="294"/>
      <c r="K44" s="295"/>
    </row>
    <row r="45" spans="1:11" s="176" customFormat="1" x14ac:dyDescent="0.25">
      <c r="A45" s="188"/>
      <c r="B45" s="170" t="s">
        <v>285</v>
      </c>
      <c r="C45" s="185" t="s">
        <v>444</v>
      </c>
      <c r="D45" s="191">
        <f>D46</f>
        <v>135000000</v>
      </c>
      <c r="E45" s="191">
        <f t="shared" ref="E45:G45" si="14">E46</f>
        <v>149400000</v>
      </c>
      <c r="F45" s="191">
        <f t="shared" si="14"/>
        <v>7600000</v>
      </c>
      <c r="G45" s="196">
        <f t="shared" si="14"/>
        <v>157000000</v>
      </c>
      <c r="H45" s="236">
        <f t="shared" si="13"/>
        <v>1.162962962962963</v>
      </c>
      <c r="I45" s="207"/>
      <c r="J45" s="294"/>
      <c r="K45" s="295"/>
    </row>
    <row r="46" spans="1:11" s="187" customFormat="1" x14ac:dyDescent="0.25">
      <c r="A46" s="169"/>
      <c r="B46" s="170" t="s">
        <v>284</v>
      </c>
      <c r="C46" s="185" t="s">
        <v>595</v>
      </c>
      <c r="D46" s="191">
        <f>SUM(D47)</f>
        <v>135000000</v>
      </c>
      <c r="E46" s="191">
        <f t="shared" ref="E46:G46" si="15">SUM(E47)</f>
        <v>149400000</v>
      </c>
      <c r="F46" s="191">
        <f t="shared" si="15"/>
        <v>7600000</v>
      </c>
      <c r="G46" s="196">
        <f t="shared" si="15"/>
        <v>157000000</v>
      </c>
      <c r="H46" s="236">
        <f t="shared" si="13"/>
        <v>1.162962962962963</v>
      </c>
      <c r="I46" s="216"/>
      <c r="J46" s="297"/>
      <c r="K46" s="298"/>
    </row>
    <row r="47" spans="1:11" s="176" customFormat="1" x14ac:dyDescent="0.25">
      <c r="A47" s="188"/>
      <c r="B47" s="170" t="s">
        <v>593</v>
      </c>
      <c r="C47" s="185" t="s">
        <v>595</v>
      </c>
      <c r="D47" s="191">
        <f>SUM(D48:D49)</f>
        <v>135000000</v>
      </c>
      <c r="E47" s="191">
        <f t="shared" ref="E47:G47" si="16">SUM(E48:E49)</f>
        <v>149400000</v>
      </c>
      <c r="F47" s="191">
        <f t="shared" si="16"/>
        <v>7600000</v>
      </c>
      <c r="G47" s="196">
        <f t="shared" si="16"/>
        <v>157000000</v>
      </c>
      <c r="H47" s="236">
        <f t="shared" si="13"/>
        <v>1.162962962962963</v>
      </c>
      <c r="I47" s="207" t="s">
        <v>47</v>
      </c>
      <c r="J47" s="294"/>
      <c r="K47" s="295"/>
    </row>
    <row r="48" spans="1:11" s="176" customFormat="1" x14ac:dyDescent="0.25">
      <c r="A48" s="188"/>
      <c r="B48" s="178"/>
      <c r="C48" s="193" t="s">
        <v>316</v>
      </c>
      <c r="D48" s="192">
        <v>5000000</v>
      </c>
      <c r="E48" s="192">
        <v>1800000</v>
      </c>
      <c r="F48" s="192">
        <v>0</v>
      </c>
      <c r="G48" s="181">
        <f>E48+F48</f>
        <v>1800000</v>
      </c>
      <c r="H48" s="24">
        <f t="shared" si="13"/>
        <v>0.36</v>
      </c>
      <c r="I48" s="207"/>
      <c r="J48" s="294"/>
      <c r="K48" s="295"/>
    </row>
    <row r="49" spans="1:11" s="176" customFormat="1" x14ac:dyDescent="0.25">
      <c r="A49" s="188"/>
      <c r="B49" s="178"/>
      <c r="C49" s="193" t="s">
        <v>317</v>
      </c>
      <c r="D49" s="192">
        <v>130000000</v>
      </c>
      <c r="E49" s="192">
        <v>147600000</v>
      </c>
      <c r="F49" s="192">
        <v>7600000</v>
      </c>
      <c r="G49" s="181">
        <f>E49+F49</f>
        <v>155200000</v>
      </c>
      <c r="H49" s="24">
        <f t="shared" si="13"/>
        <v>1.1938461538461538</v>
      </c>
      <c r="I49" s="207"/>
      <c r="J49" s="294"/>
      <c r="K49" s="295"/>
    </row>
    <row r="50" spans="1:11" s="176" customFormat="1" ht="15" customHeight="1" x14ac:dyDescent="0.25">
      <c r="A50" s="188"/>
      <c r="B50" s="177"/>
      <c r="C50" s="185" t="s">
        <v>60</v>
      </c>
      <c r="D50" s="192"/>
      <c r="E50" s="192"/>
      <c r="F50" s="192"/>
      <c r="G50" s="181"/>
      <c r="H50" s="24"/>
      <c r="I50" s="207"/>
      <c r="J50" s="294"/>
      <c r="K50" s="295"/>
    </row>
    <row r="51" spans="1:11" s="176" customFormat="1" ht="15" customHeight="1" x14ac:dyDescent="0.25">
      <c r="A51" s="188"/>
      <c r="B51" s="177"/>
      <c r="C51" s="395" t="s">
        <v>692</v>
      </c>
      <c r="D51" s="191">
        <v>14990050000</v>
      </c>
      <c r="E51" s="191">
        <v>5271893209.1700001</v>
      </c>
      <c r="F51" s="191">
        <v>934986936</v>
      </c>
      <c r="G51" s="196">
        <f>E51+F51</f>
        <v>6206880145.1700001</v>
      </c>
      <c r="H51" s="236">
        <f t="shared" si="13"/>
        <v>0.41406667390502366</v>
      </c>
      <c r="I51" s="207"/>
      <c r="J51" s="294"/>
      <c r="K51" s="295"/>
    </row>
    <row r="52" spans="1:11" s="176" customFormat="1" ht="15" customHeight="1" x14ac:dyDescent="0.25">
      <c r="A52" s="188"/>
      <c r="B52" s="177"/>
      <c r="C52" s="166"/>
      <c r="D52" s="192"/>
      <c r="E52" s="192"/>
      <c r="F52" s="192"/>
      <c r="G52" s="181"/>
      <c r="H52" s="24"/>
      <c r="I52" s="207"/>
      <c r="J52" s="294"/>
      <c r="K52" s="295"/>
    </row>
    <row r="53" spans="1:11" s="176" customFormat="1" x14ac:dyDescent="0.25">
      <c r="A53" s="168" t="s">
        <v>8</v>
      </c>
      <c r="B53" s="22" t="s">
        <v>283</v>
      </c>
      <c r="C53" s="185" t="s">
        <v>48</v>
      </c>
      <c r="D53" s="196">
        <f>SUM(D54)</f>
        <v>50000000</v>
      </c>
      <c r="E53" s="196">
        <f t="shared" ref="E53:G53" si="17">SUM(E54)</f>
        <v>26400000</v>
      </c>
      <c r="F53" s="196">
        <f t="shared" si="17"/>
        <v>2550000</v>
      </c>
      <c r="G53" s="196">
        <f t="shared" si="17"/>
        <v>28950000</v>
      </c>
      <c r="H53" s="236">
        <f>G53/D53</f>
        <v>0.57899999999999996</v>
      </c>
      <c r="I53" s="207"/>
      <c r="J53" s="294"/>
      <c r="K53" s="295"/>
    </row>
    <row r="54" spans="1:11" s="176" customFormat="1" x14ac:dyDescent="0.25">
      <c r="A54" s="188"/>
      <c r="B54" s="170" t="s">
        <v>285</v>
      </c>
      <c r="C54" s="185" t="s">
        <v>444</v>
      </c>
      <c r="D54" s="191">
        <f>D55</f>
        <v>50000000</v>
      </c>
      <c r="E54" s="191">
        <f t="shared" ref="E54:G54" si="18">E55</f>
        <v>26400000</v>
      </c>
      <c r="F54" s="191">
        <f t="shared" si="18"/>
        <v>2550000</v>
      </c>
      <c r="G54" s="196">
        <f t="shared" si="18"/>
        <v>28950000</v>
      </c>
      <c r="H54" s="236">
        <f>G54/D54</f>
        <v>0.57899999999999996</v>
      </c>
      <c r="I54" s="207"/>
      <c r="J54" s="294"/>
      <c r="K54" s="295"/>
    </row>
    <row r="55" spans="1:11" s="187" customFormat="1" x14ac:dyDescent="0.25">
      <c r="A55" s="169"/>
      <c r="B55" s="170" t="s">
        <v>284</v>
      </c>
      <c r="C55" s="185" t="s">
        <v>286</v>
      </c>
      <c r="D55" s="191">
        <f>SUM(D56)</f>
        <v>50000000</v>
      </c>
      <c r="E55" s="191">
        <f t="shared" ref="E55:G55" si="19">SUM(E56)</f>
        <v>26400000</v>
      </c>
      <c r="F55" s="191">
        <f t="shared" si="19"/>
        <v>2550000</v>
      </c>
      <c r="G55" s="196">
        <f t="shared" si="19"/>
        <v>28950000</v>
      </c>
      <c r="H55" s="236">
        <f>G55/D55</f>
        <v>0.57899999999999996</v>
      </c>
      <c r="I55" s="216"/>
      <c r="J55" s="297"/>
      <c r="K55" s="298"/>
    </row>
    <row r="56" spans="1:11" s="176" customFormat="1" x14ac:dyDescent="0.25">
      <c r="A56" s="188"/>
      <c r="B56" s="178" t="s">
        <v>496</v>
      </c>
      <c r="C56" s="183" t="s">
        <v>497</v>
      </c>
      <c r="D56" s="192">
        <v>50000000</v>
      </c>
      <c r="E56" s="192">
        <v>26400000</v>
      </c>
      <c r="F56" s="192">
        <f>'[1]2022'!$G$90</f>
        <v>2550000</v>
      </c>
      <c r="G56" s="181">
        <f>E56+F56</f>
        <v>28950000</v>
      </c>
      <c r="H56" s="24">
        <f>G56/D56</f>
        <v>0.57899999999999996</v>
      </c>
      <c r="I56" s="207" t="s">
        <v>47</v>
      </c>
      <c r="J56" s="294"/>
      <c r="K56" s="295"/>
    </row>
    <row r="57" spans="1:11" s="176" customFormat="1" x14ac:dyDescent="0.25">
      <c r="A57" s="169"/>
      <c r="B57" s="22"/>
      <c r="C57" s="25"/>
      <c r="D57" s="192"/>
      <c r="E57" s="192"/>
      <c r="F57" s="192"/>
      <c r="G57" s="196"/>
      <c r="H57" s="236"/>
      <c r="I57" s="207"/>
      <c r="J57" s="294"/>
      <c r="K57" s="295"/>
    </row>
    <row r="58" spans="1:11" s="176" customFormat="1" x14ac:dyDescent="0.25">
      <c r="A58" s="168" t="s">
        <v>49</v>
      </c>
      <c r="B58" s="22" t="s">
        <v>287</v>
      </c>
      <c r="C58" s="185" t="s">
        <v>50</v>
      </c>
      <c r="D58" s="196">
        <f>D59</f>
        <v>750000000</v>
      </c>
      <c r="E58" s="196">
        <f t="shared" ref="E58:G60" si="20">E59</f>
        <v>606180000</v>
      </c>
      <c r="F58" s="196">
        <f t="shared" si="20"/>
        <v>111460000</v>
      </c>
      <c r="G58" s="196">
        <f t="shared" si="20"/>
        <v>717640000</v>
      </c>
      <c r="H58" s="236">
        <f>G58/D58</f>
        <v>0.95685333333333333</v>
      </c>
      <c r="I58" s="207"/>
      <c r="J58" s="294"/>
      <c r="K58" s="295"/>
    </row>
    <row r="59" spans="1:11" s="187" customFormat="1" x14ac:dyDescent="0.25">
      <c r="A59" s="169"/>
      <c r="B59" s="170" t="s">
        <v>288</v>
      </c>
      <c r="C59" s="185" t="s">
        <v>55</v>
      </c>
      <c r="D59" s="191">
        <f>D60</f>
        <v>750000000</v>
      </c>
      <c r="E59" s="191">
        <f t="shared" si="20"/>
        <v>606180000</v>
      </c>
      <c r="F59" s="191">
        <f t="shared" si="20"/>
        <v>111460000</v>
      </c>
      <c r="G59" s="196">
        <f t="shared" si="20"/>
        <v>717640000</v>
      </c>
      <c r="H59" s="236">
        <f>G59/D59</f>
        <v>0.95685333333333333</v>
      </c>
      <c r="I59" s="216" t="s">
        <v>52</v>
      </c>
      <c r="J59" s="297"/>
      <c r="K59" s="298"/>
    </row>
    <row r="60" spans="1:11" s="176" customFormat="1" x14ac:dyDescent="0.25">
      <c r="A60" s="188"/>
      <c r="B60" s="170" t="s">
        <v>499</v>
      </c>
      <c r="C60" s="185" t="s">
        <v>51</v>
      </c>
      <c r="D60" s="191">
        <f>D61</f>
        <v>750000000</v>
      </c>
      <c r="E60" s="191">
        <f t="shared" si="20"/>
        <v>606180000</v>
      </c>
      <c r="F60" s="191">
        <f t="shared" si="20"/>
        <v>111460000</v>
      </c>
      <c r="G60" s="196">
        <f t="shared" si="20"/>
        <v>717640000</v>
      </c>
      <c r="H60" s="236">
        <f>G60/D60</f>
        <v>0.95685333333333333</v>
      </c>
      <c r="I60" s="207"/>
      <c r="J60" s="294"/>
      <c r="K60" s="295"/>
    </row>
    <row r="61" spans="1:11" s="176" customFormat="1" x14ac:dyDescent="0.25">
      <c r="A61" s="188"/>
      <c r="B61" s="178" t="s">
        <v>498</v>
      </c>
      <c r="C61" s="183" t="s">
        <v>51</v>
      </c>
      <c r="D61" s="192">
        <v>750000000</v>
      </c>
      <c r="E61" s="192">
        <v>606180000</v>
      </c>
      <c r="F61" s="192">
        <v>111460000</v>
      </c>
      <c r="G61" s="181">
        <f>E61+F61</f>
        <v>717640000</v>
      </c>
      <c r="H61" s="24">
        <f>G61/D61</f>
        <v>0.95685333333333333</v>
      </c>
      <c r="I61" s="207"/>
      <c r="J61" s="294"/>
      <c r="K61" s="296"/>
    </row>
    <row r="62" spans="1:11" s="176" customFormat="1" x14ac:dyDescent="0.25">
      <c r="A62" s="169"/>
      <c r="B62" s="22"/>
      <c r="C62" s="25"/>
      <c r="D62" s="191"/>
      <c r="E62" s="191"/>
      <c r="F62" s="191"/>
      <c r="G62" s="196"/>
      <c r="H62" s="236"/>
      <c r="I62" s="217"/>
      <c r="J62" s="294"/>
      <c r="K62" s="295"/>
    </row>
    <row r="63" spans="1:11" s="176" customFormat="1" x14ac:dyDescent="0.25">
      <c r="A63" s="168" t="s">
        <v>53</v>
      </c>
      <c r="B63" s="22" t="s">
        <v>289</v>
      </c>
      <c r="C63" s="185" t="s">
        <v>54</v>
      </c>
      <c r="D63" s="196">
        <f>D64+D69+D76</f>
        <v>30000000000</v>
      </c>
      <c r="E63" s="196">
        <f t="shared" ref="E63:G63" si="21">E64+E69+E76</f>
        <v>21856254650</v>
      </c>
      <c r="F63" s="196">
        <f t="shared" si="21"/>
        <v>1988539800</v>
      </c>
      <c r="G63" s="196">
        <f t="shared" si="21"/>
        <v>23844794450</v>
      </c>
      <c r="H63" s="236">
        <f t="shared" ref="H63:H78" si="22">G63/D63</f>
        <v>0.7948264816666667</v>
      </c>
      <c r="I63" s="209"/>
      <c r="J63" s="294"/>
      <c r="K63" s="295"/>
    </row>
    <row r="64" spans="1:11" s="187" customFormat="1" x14ac:dyDescent="0.25">
      <c r="A64" s="169" t="s">
        <v>413</v>
      </c>
      <c r="B64" s="170" t="s">
        <v>288</v>
      </c>
      <c r="C64" s="185" t="s">
        <v>55</v>
      </c>
      <c r="D64" s="191">
        <f>D65+D67</f>
        <v>1829475000</v>
      </c>
      <c r="E64" s="191">
        <f t="shared" ref="E64:G64" si="23">E65+E67</f>
        <v>521989500</v>
      </c>
      <c r="F64" s="191">
        <f t="shared" si="23"/>
        <v>84463250</v>
      </c>
      <c r="G64" s="196">
        <f t="shared" si="23"/>
        <v>606452750</v>
      </c>
      <c r="H64" s="236">
        <f t="shared" si="22"/>
        <v>0.33149004495825307</v>
      </c>
      <c r="I64" s="207"/>
      <c r="J64" s="297"/>
      <c r="K64" s="298"/>
    </row>
    <row r="65" spans="1:11" s="187" customFormat="1" x14ac:dyDescent="0.25">
      <c r="A65" s="169"/>
      <c r="B65" s="170" t="s">
        <v>290</v>
      </c>
      <c r="C65" s="185" t="s">
        <v>56</v>
      </c>
      <c r="D65" s="191">
        <f>D66</f>
        <v>1000000000</v>
      </c>
      <c r="E65" s="191">
        <f t="shared" ref="E65:G65" si="24">E66</f>
        <v>369210000</v>
      </c>
      <c r="F65" s="191">
        <f t="shared" si="24"/>
        <v>58540000</v>
      </c>
      <c r="G65" s="196">
        <f t="shared" si="24"/>
        <v>427750000</v>
      </c>
      <c r="H65" s="236">
        <f t="shared" si="22"/>
        <v>0.42775000000000002</v>
      </c>
      <c r="I65" s="207"/>
      <c r="J65" s="297"/>
      <c r="K65" s="298"/>
    </row>
    <row r="66" spans="1:11" s="176" customFormat="1" x14ac:dyDescent="0.25">
      <c r="A66" s="188"/>
      <c r="B66" s="178" t="s">
        <v>500</v>
      </c>
      <c r="C66" s="183" t="s">
        <v>56</v>
      </c>
      <c r="D66" s="192">
        <v>1000000000</v>
      </c>
      <c r="E66" s="192">
        <v>369210000</v>
      </c>
      <c r="F66" s="192">
        <v>58540000</v>
      </c>
      <c r="G66" s="181">
        <f>E66+F66</f>
        <v>427750000</v>
      </c>
      <c r="H66" s="24">
        <f t="shared" si="22"/>
        <v>0.42775000000000002</v>
      </c>
      <c r="I66" s="207" t="s">
        <v>57</v>
      </c>
      <c r="J66" s="294"/>
      <c r="K66" s="295"/>
    </row>
    <row r="67" spans="1:11" s="176" customFormat="1" x14ac:dyDescent="0.25">
      <c r="A67" s="188"/>
      <c r="B67" s="170" t="s">
        <v>291</v>
      </c>
      <c r="C67" s="185" t="s">
        <v>292</v>
      </c>
      <c r="D67" s="191">
        <f>D68</f>
        <v>829475000</v>
      </c>
      <c r="E67" s="191">
        <f>'Realisasi Nov'!G67</f>
        <v>152779500</v>
      </c>
      <c r="F67" s="191">
        <f t="shared" ref="F67:G67" si="25">F68</f>
        <v>25923250</v>
      </c>
      <c r="G67" s="196">
        <f t="shared" si="25"/>
        <v>178702750</v>
      </c>
      <c r="H67" s="236">
        <f t="shared" si="22"/>
        <v>0.21544079086168963</v>
      </c>
      <c r="I67" s="207"/>
      <c r="J67" s="294"/>
      <c r="K67" s="295"/>
    </row>
    <row r="68" spans="1:11" s="187" customFormat="1" ht="22.5" customHeight="1" x14ac:dyDescent="0.25">
      <c r="A68" s="169"/>
      <c r="B68" s="178" t="s">
        <v>501</v>
      </c>
      <c r="C68" s="183" t="s">
        <v>292</v>
      </c>
      <c r="D68" s="192">
        <v>829475000</v>
      </c>
      <c r="E68" s="192">
        <v>152779500</v>
      </c>
      <c r="F68" s="192">
        <v>25923250</v>
      </c>
      <c r="G68" s="181">
        <f>E68+F68</f>
        <v>178702750</v>
      </c>
      <c r="H68" s="24">
        <f t="shared" si="22"/>
        <v>0.21544079086168963</v>
      </c>
      <c r="I68" s="207" t="s">
        <v>58</v>
      </c>
      <c r="J68" s="297"/>
      <c r="K68" s="298"/>
    </row>
    <row r="69" spans="1:11" s="176" customFormat="1" x14ac:dyDescent="0.25">
      <c r="A69" s="169" t="s">
        <v>414</v>
      </c>
      <c r="B69" s="170" t="s">
        <v>285</v>
      </c>
      <c r="C69" s="185" t="s">
        <v>444</v>
      </c>
      <c r="D69" s="191">
        <f>D70+D72+D74</f>
        <v>28168525000</v>
      </c>
      <c r="E69" s="191">
        <f>'Realisasi Nov'!G69</f>
        <v>21334215150</v>
      </c>
      <c r="F69" s="191">
        <f t="shared" ref="F69:G69" si="26">F70+F72+F74</f>
        <v>1904076550</v>
      </c>
      <c r="G69" s="196">
        <f t="shared" si="26"/>
        <v>23238291700</v>
      </c>
      <c r="H69" s="236">
        <f t="shared" si="22"/>
        <v>0.82497367895550089</v>
      </c>
      <c r="I69" s="207" t="s">
        <v>59</v>
      </c>
      <c r="J69" s="294"/>
      <c r="K69" s="295"/>
    </row>
    <row r="70" spans="1:11" s="176" customFormat="1" x14ac:dyDescent="0.25">
      <c r="A70" s="169"/>
      <c r="B70" s="170" t="s">
        <v>293</v>
      </c>
      <c r="C70" s="185" t="s">
        <v>502</v>
      </c>
      <c r="D70" s="191">
        <f>D71</f>
        <v>74722500</v>
      </c>
      <c r="E70" s="191">
        <f>'Realisasi Nov'!G70</f>
        <v>122928000</v>
      </c>
      <c r="F70" s="191">
        <f t="shared" ref="F70:G70" si="27">F71</f>
        <v>18760000</v>
      </c>
      <c r="G70" s="196">
        <f t="shared" si="27"/>
        <v>141688000</v>
      </c>
      <c r="H70" s="236">
        <f t="shared" si="22"/>
        <v>1.8961892334972732</v>
      </c>
      <c r="I70" s="207"/>
      <c r="J70" s="294"/>
      <c r="K70" s="295"/>
    </row>
    <row r="71" spans="1:11" s="176" customFormat="1" x14ac:dyDescent="0.25">
      <c r="A71" s="188"/>
      <c r="B71" s="178" t="s">
        <v>503</v>
      </c>
      <c r="C71" s="183" t="s">
        <v>504</v>
      </c>
      <c r="D71" s="192">
        <v>74722500</v>
      </c>
      <c r="E71" s="192">
        <v>122928000</v>
      </c>
      <c r="F71" s="192">
        <v>18760000</v>
      </c>
      <c r="G71" s="181">
        <f>E71+F71</f>
        <v>141688000</v>
      </c>
      <c r="H71" s="24">
        <f t="shared" si="22"/>
        <v>1.8961892334972732</v>
      </c>
      <c r="I71" s="207"/>
      <c r="J71" s="294"/>
      <c r="K71" s="295"/>
    </row>
    <row r="72" spans="1:11" s="176" customFormat="1" x14ac:dyDescent="0.25">
      <c r="A72" s="169"/>
      <c r="B72" s="170" t="s">
        <v>294</v>
      </c>
      <c r="C72" s="185" t="s">
        <v>295</v>
      </c>
      <c r="D72" s="191">
        <f>D73</f>
        <v>27808802500</v>
      </c>
      <c r="E72" s="191">
        <f>'Realisasi Nov'!G72</f>
        <v>21099853300</v>
      </c>
      <c r="F72" s="191">
        <f t="shared" ref="F72:G72" si="28">F73</f>
        <v>1871536000</v>
      </c>
      <c r="G72" s="196">
        <f t="shared" si="28"/>
        <v>22971389300</v>
      </c>
      <c r="H72" s="236">
        <f t="shared" si="22"/>
        <v>0.82604741070745491</v>
      </c>
      <c r="I72" s="218"/>
      <c r="J72" s="294"/>
      <c r="K72" s="295"/>
    </row>
    <row r="73" spans="1:11" s="176" customFormat="1" x14ac:dyDescent="0.25">
      <c r="A73" s="188"/>
      <c r="B73" s="178" t="s">
        <v>505</v>
      </c>
      <c r="C73" s="183" t="s">
        <v>295</v>
      </c>
      <c r="D73" s="192">
        <v>27808802500</v>
      </c>
      <c r="E73" s="192">
        <v>21099853300</v>
      </c>
      <c r="F73" s="192">
        <v>1871536000</v>
      </c>
      <c r="G73" s="181">
        <f>E73+F73</f>
        <v>22971389300</v>
      </c>
      <c r="H73" s="24">
        <f t="shared" si="22"/>
        <v>0.82604741070745491</v>
      </c>
      <c r="I73" s="218"/>
      <c r="J73" s="294"/>
      <c r="K73" s="295"/>
    </row>
    <row r="74" spans="1:11" s="176" customFormat="1" x14ac:dyDescent="0.25">
      <c r="A74" s="188"/>
      <c r="B74" s="170" t="s">
        <v>296</v>
      </c>
      <c r="C74" s="185" t="s">
        <v>297</v>
      </c>
      <c r="D74" s="191">
        <f>SUM(D75)</f>
        <v>285000000</v>
      </c>
      <c r="E74" s="191">
        <f>'Realisasi Nov'!G74</f>
        <v>111433850</v>
      </c>
      <c r="F74" s="191">
        <f t="shared" ref="F74:G74" si="29">SUM(F75)</f>
        <v>13780550</v>
      </c>
      <c r="G74" s="196">
        <f t="shared" si="29"/>
        <v>125214400</v>
      </c>
      <c r="H74" s="24">
        <f t="shared" si="22"/>
        <v>0.43934877192982458</v>
      </c>
      <c r="I74" s="218"/>
      <c r="J74" s="294"/>
      <c r="K74" s="295"/>
    </row>
    <row r="75" spans="1:11" s="176" customFormat="1" x14ac:dyDescent="0.25">
      <c r="A75" s="188"/>
      <c r="B75" s="178" t="s">
        <v>506</v>
      </c>
      <c r="C75" s="183" t="s">
        <v>297</v>
      </c>
      <c r="D75" s="192">
        <v>285000000</v>
      </c>
      <c r="E75" s="192">
        <v>111433850</v>
      </c>
      <c r="F75" s="192">
        <v>13780550</v>
      </c>
      <c r="G75" s="181">
        <f>E75+F75</f>
        <v>125214400</v>
      </c>
      <c r="H75" s="24">
        <f t="shared" si="22"/>
        <v>0.43934877192982458</v>
      </c>
      <c r="I75" s="218"/>
      <c r="J75" s="294"/>
      <c r="K75" s="295"/>
    </row>
    <row r="76" spans="1:11" s="176" customFormat="1" x14ac:dyDescent="0.25">
      <c r="A76" s="169" t="s">
        <v>415</v>
      </c>
      <c r="B76" s="170" t="s">
        <v>298</v>
      </c>
      <c r="C76" s="185" t="s">
        <v>60</v>
      </c>
      <c r="D76" s="191">
        <f>SUM(D77)</f>
        <v>2000000</v>
      </c>
      <c r="E76" s="191">
        <f>'Realisasi Nov'!G76</f>
        <v>50000</v>
      </c>
      <c r="F76" s="191">
        <f t="shared" ref="F76:G76" si="30">SUM(F77)</f>
        <v>0</v>
      </c>
      <c r="G76" s="196">
        <f t="shared" si="30"/>
        <v>50000</v>
      </c>
      <c r="H76" s="236">
        <f t="shared" si="22"/>
        <v>2.5000000000000001E-2</v>
      </c>
      <c r="I76" s="207" t="s">
        <v>61</v>
      </c>
      <c r="J76" s="294"/>
      <c r="K76" s="295"/>
    </row>
    <row r="77" spans="1:11" s="187" customFormat="1" x14ac:dyDescent="0.25">
      <c r="A77" s="169"/>
      <c r="B77" s="170" t="s">
        <v>299</v>
      </c>
      <c r="C77" s="185" t="s">
        <v>300</v>
      </c>
      <c r="D77" s="191">
        <f>D78</f>
        <v>2000000</v>
      </c>
      <c r="E77" s="191">
        <f>'Realisasi Nov'!G77</f>
        <v>50000</v>
      </c>
      <c r="F77" s="191">
        <f t="shared" ref="F77:G77" si="31">F78</f>
        <v>0</v>
      </c>
      <c r="G77" s="196">
        <f t="shared" si="31"/>
        <v>50000</v>
      </c>
      <c r="H77" s="236">
        <f t="shared" si="22"/>
        <v>2.5000000000000001E-2</v>
      </c>
      <c r="I77" s="263"/>
      <c r="J77" s="297"/>
      <c r="K77" s="298"/>
    </row>
    <row r="78" spans="1:11" s="176" customFormat="1" x14ac:dyDescent="0.25">
      <c r="A78" s="188"/>
      <c r="B78" s="178" t="s">
        <v>507</v>
      </c>
      <c r="C78" s="183" t="s">
        <v>300</v>
      </c>
      <c r="D78" s="192">
        <v>2000000</v>
      </c>
      <c r="E78" s="192">
        <v>50000</v>
      </c>
      <c r="F78" s="192">
        <v>0</v>
      </c>
      <c r="G78" s="181">
        <f>E78+F78</f>
        <v>50000</v>
      </c>
      <c r="H78" s="24">
        <f t="shared" si="22"/>
        <v>2.5000000000000001E-2</v>
      </c>
      <c r="I78" s="219"/>
      <c r="J78" s="294"/>
      <c r="K78" s="295"/>
    </row>
    <row r="79" spans="1:11" s="176" customFormat="1" x14ac:dyDescent="0.25">
      <c r="A79" s="188"/>
      <c r="B79" s="178"/>
      <c r="C79" s="183"/>
      <c r="D79" s="192"/>
      <c r="E79" s="192"/>
      <c r="F79" s="192"/>
      <c r="G79" s="196"/>
      <c r="H79" s="236"/>
      <c r="I79" s="220"/>
      <c r="J79" s="294"/>
      <c r="K79" s="295"/>
    </row>
    <row r="80" spans="1:11" s="176" customFormat="1" x14ac:dyDescent="0.25">
      <c r="A80" s="168" t="s">
        <v>62</v>
      </c>
      <c r="B80" s="22" t="s">
        <v>301</v>
      </c>
      <c r="C80" s="185" t="s">
        <v>63</v>
      </c>
      <c r="D80" s="191">
        <f t="shared" ref="D80:G82" si="32">D81</f>
        <v>25000000</v>
      </c>
      <c r="E80" s="191">
        <f t="shared" si="32"/>
        <v>23829600</v>
      </c>
      <c r="F80" s="191">
        <f t="shared" si="32"/>
        <v>2180000</v>
      </c>
      <c r="G80" s="196">
        <f t="shared" si="32"/>
        <v>26009600</v>
      </c>
      <c r="H80" s="236">
        <f>G80/D80</f>
        <v>1.040384</v>
      </c>
      <c r="I80" s="209"/>
      <c r="J80" s="294"/>
      <c r="K80" s="295"/>
    </row>
    <row r="81" spans="1:11" s="187" customFormat="1" x14ac:dyDescent="0.25">
      <c r="A81" s="169"/>
      <c r="B81" s="170" t="s">
        <v>285</v>
      </c>
      <c r="C81" s="185" t="s">
        <v>444</v>
      </c>
      <c r="D81" s="191">
        <f t="shared" si="32"/>
        <v>25000000</v>
      </c>
      <c r="E81" s="191">
        <f t="shared" si="32"/>
        <v>23829600</v>
      </c>
      <c r="F81" s="191">
        <f t="shared" si="32"/>
        <v>2180000</v>
      </c>
      <c r="G81" s="196">
        <f t="shared" si="32"/>
        <v>26009600</v>
      </c>
      <c r="H81" s="236">
        <f>G81/D81</f>
        <v>1.040384</v>
      </c>
      <c r="I81" s="216"/>
      <c r="J81" s="297"/>
      <c r="K81" s="298"/>
    </row>
    <row r="82" spans="1:11" s="187" customFormat="1" x14ac:dyDescent="0.25">
      <c r="A82" s="169"/>
      <c r="B82" s="170" t="s">
        <v>302</v>
      </c>
      <c r="C82" s="185" t="s">
        <v>64</v>
      </c>
      <c r="D82" s="191">
        <f>D83</f>
        <v>25000000</v>
      </c>
      <c r="E82" s="191">
        <f t="shared" si="32"/>
        <v>23829600</v>
      </c>
      <c r="F82" s="191">
        <f t="shared" si="32"/>
        <v>2180000</v>
      </c>
      <c r="G82" s="196">
        <f t="shared" si="32"/>
        <v>26009600</v>
      </c>
      <c r="H82" s="236">
        <f>G82/D82</f>
        <v>1.040384</v>
      </c>
      <c r="I82" s="216"/>
      <c r="J82" s="297"/>
      <c r="K82" s="298"/>
    </row>
    <row r="83" spans="1:11" s="176" customFormat="1" x14ac:dyDescent="0.25">
      <c r="A83" s="27"/>
      <c r="B83" s="178" t="s">
        <v>508</v>
      </c>
      <c r="C83" s="28" t="s">
        <v>509</v>
      </c>
      <c r="D83" s="192">
        <v>25000000</v>
      </c>
      <c r="E83" s="192">
        <v>23829600</v>
      </c>
      <c r="F83" s="192">
        <v>2180000</v>
      </c>
      <c r="G83" s="181">
        <f>E83+F83</f>
        <v>26009600</v>
      </c>
      <c r="H83" s="24">
        <f>G83/D83</f>
        <v>1.040384</v>
      </c>
      <c r="I83" s="207" t="s">
        <v>65</v>
      </c>
      <c r="J83" s="294"/>
      <c r="K83" s="295"/>
    </row>
    <row r="84" spans="1:11" s="176" customFormat="1" x14ac:dyDescent="0.25">
      <c r="A84" s="27"/>
      <c r="B84" s="178"/>
      <c r="C84" s="171"/>
      <c r="D84" s="192"/>
      <c r="E84" s="192"/>
      <c r="F84" s="192"/>
      <c r="G84" s="196"/>
      <c r="H84" s="236"/>
      <c r="I84" s="207"/>
      <c r="J84" s="294"/>
      <c r="K84" s="295"/>
    </row>
    <row r="85" spans="1:11" s="176" customFormat="1" hidden="1" x14ac:dyDescent="0.25">
      <c r="A85" s="168" t="s">
        <v>66</v>
      </c>
      <c r="B85" s="22" t="s">
        <v>303</v>
      </c>
      <c r="C85" s="185" t="s">
        <v>67</v>
      </c>
      <c r="D85" s="196">
        <f>SUM(D86)</f>
        <v>0</v>
      </c>
      <c r="E85" s="196"/>
      <c r="F85" s="196">
        <f t="shared" ref="F85:G85" si="33">SUM(F86)</f>
        <v>0</v>
      </c>
      <c r="G85" s="196">
        <f t="shared" si="33"/>
        <v>0</v>
      </c>
      <c r="H85" s="236" t="e">
        <f t="shared" ref="H85:H90" si="34">G85/D85</f>
        <v>#DIV/0!</v>
      </c>
      <c r="I85" s="209"/>
      <c r="J85" s="294"/>
      <c r="K85" s="295"/>
    </row>
    <row r="86" spans="1:11" s="176" customFormat="1" hidden="1" x14ac:dyDescent="0.25">
      <c r="A86" s="27"/>
      <c r="B86" s="170" t="s">
        <v>298</v>
      </c>
      <c r="C86" s="185" t="s">
        <v>60</v>
      </c>
      <c r="D86" s="191">
        <f>D87+D89</f>
        <v>0</v>
      </c>
      <c r="E86" s="191"/>
      <c r="F86" s="191">
        <f t="shared" ref="F86:G86" si="35">F87+F89</f>
        <v>0</v>
      </c>
      <c r="G86" s="196">
        <f t="shared" si="35"/>
        <v>0</v>
      </c>
      <c r="H86" s="236" t="e">
        <f t="shared" si="34"/>
        <v>#DIV/0!</v>
      </c>
      <c r="I86" s="207"/>
      <c r="J86" s="294"/>
      <c r="K86" s="295"/>
    </row>
    <row r="87" spans="1:11" s="187" customFormat="1" hidden="1" x14ac:dyDescent="0.25">
      <c r="A87" s="264"/>
      <c r="B87" s="170" t="s">
        <v>304</v>
      </c>
      <c r="C87" s="185" t="s">
        <v>68</v>
      </c>
      <c r="D87" s="191">
        <f>D88</f>
        <v>0</v>
      </c>
      <c r="E87" s="191"/>
      <c r="F87" s="191">
        <f t="shared" ref="F87:G87" si="36">F88</f>
        <v>0</v>
      </c>
      <c r="G87" s="196">
        <f t="shared" si="36"/>
        <v>0</v>
      </c>
      <c r="H87" s="236" t="e">
        <f t="shared" si="34"/>
        <v>#DIV/0!</v>
      </c>
      <c r="I87" s="216" t="s">
        <v>69</v>
      </c>
      <c r="J87" s="297"/>
      <c r="K87" s="298"/>
    </row>
    <row r="88" spans="1:11" s="176" customFormat="1" hidden="1" x14ac:dyDescent="0.25">
      <c r="A88" s="27"/>
      <c r="B88" s="178" t="s">
        <v>510</v>
      </c>
      <c r="C88" s="183" t="s">
        <v>68</v>
      </c>
      <c r="D88" s="192">
        <v>0</v>
      </c>
      <c r="E88" s="192">
        <f>'Realisasi Agustus'!H87</f>
        <v>0</v>
      </c>
      <c r="F88" s="192"/>
      <c r="G88" s="181">
        <f>E88+F88</f>
        <v>0</v>
      </c>
      <c r="H88" s="24" t="e">
        <f t="shared" si="34"/>
        <v>#DIV/0!</v>
      </c>
      <c r="I88" s="207" t="s">
        <v>69</v>
      </c>
      <c r="J88" s="294"/>
      <c r="K88" s="295"/>
    </row>
    <row r="89" spans="1:11" s="187" customFormat="1" hidden="1" x14ac:dyDescent="0.25">
      <c r="A89" s="264"/>
      <c r="B89" s="170" t="s">
        <v>305</v>
      </c>
      <c r="C89" s="185" t="s">
        <v>70</v>
      </c>
      <c r="D89" s="191">
        <f>D90</f>
        <v>0</v>
      </c>
      <c r="E89" s="191"/>
      <c r="F89" s="191">
        <f t="shared" ref="F89:G89" si="37">F90</f>
        <v>0</v>
      </c>
      <c r="G89" s="196">
        <f t="shared" si="37"/>
        <v>0</v>
      </c>
      <c r="H89" s="236" t="e">
        <f t="shared" si="34"/>
        <v>#DIV/0!</v>
      </c>
      <c r="I89" s="216" t="s">
        <v>71</v>
      </c>
      <c r="J89" s="297"/>
      <c r="K89" s="298"/>
    </row>
    <row r="90" spans="1:11" s="176" customFormat="1" hidden="1" x14ac:dyDescent="0.25">
      <c r="A90" s="27"/>
      <c r="B90" s="178" t="s">
        <v>511</v>
      </c>
      <c r="C90" s="183" t="s">
        <v>70</v>
      </c>
      <c r="D90" s="192">
        <v>0</v>
      </c>
      <c r="E90" s="192">
        <f>'Realisasi Agustus'!H89</f>
        <v>0</v>
      </c>
      <c r="F90" s="192"/>
      <c r="G90" s="181">
        <f>E90+F90</f>
        <v>0</v>
      </c>
      <c r="H90" s="24" t="e">
        <f t="shared" si="34"/>
        <v>#DIV/0!</v>
      </c>
      <c r="I90" s="207" t="s">
        <v>71</v>
      </c>
      <c r="J90" s="294"/>
      <c r="K90" s="295"/>
    </row>
    <row r="91" spans="1:11" s="176" customFormat="1" hidden="1" x14ac:dyDescent="0.25">
      <c r="A91" s="27"/>
      <c r="B91" s="178"/>
      <c r="C91" s="183"/>
      <c r="D91" s="192"/>
      <c r="E91" s="192"/>
      <c r="F91" s="192"/>
      <c r="G91" s="196"/>
      <c r="H91" s="236"/>
      <c r="I91" s="207"/>
      <c r="J91" s="294"/>
      <c r="K91" s="295"/>
    </row>
    <row r="92" spans="1:11" s="176" customFormat="1" ht="24" customHeight="1" x14ac:dyDescent="0.25">
      <c r="A92" s="29" t="s">
        <v>73</v>
      </c>
      <c r="B92" s="22" t="s">
        <v>307</v>
      </c>
      <c r="C92" s="185" t="s">
        <v>82</v>
      </c>
      <c r="D92" s="196">
        <f>D93</f>
        <v>25440000</v>
      </c>
      <c r="E92" s="196">
        <f t="shared" ref="E92:G92" si="38">E93</f>
        <v>16900000</v>
      </c>
      <c r="F92" s="196">
        <f t="shared" si="38"/>
        <v>1260000</v>
      </c>
      <c r="G92" s="196">
        <f t="shared" si="38"/>
        <v>18160000</v>
      </c>
      <c r="H92" s="236">
        <f>G92/D92</f>
        <v>0.71383647798742134</v>
      </c>
      <c r="I92" s="209"/>
      <c r="J92" s="294"/>
      <c r="K92" s="295"/>
    </row>
    <row r="93" spans="1:11" s="187" customFormat="1" x14ac:dyDescent="0.25">
      <c r="A93" s="169"/>
      <c r="B93" s="170" t="s">
        <v>285</v>
      </c>
      <c r="C93" s="185" t="s">
        <v>444</v>
      </c>
      <c r="D93" s="191">
        <f>D95</f>
        <v>25440000</v>
      </c>
      <c r="E93" s="191">
        <f t="shared" ref="E93:F93" si="39">E95</f>
        <v>16900000</v>
      </c>
      <c r="F93" s="191">
        <f t="shared" si="39"/>
        <v>1260000</v>
      </c>
      <c r="G93" s="196">
        <f>G95</f>
        <v>18160000</v>
      </c>
      <c r="H93" s="236">
        <f>G93/D93</f>
        <v>0.71383647798742134</v>
      </c>
      <c r="I93" s="207" t="s">
        <v>83</v>
      </c>
      <c r="J93" s="297"/>
      <c r="K93" s="298"/>
    </row>
    <row r="94" spans="1:11" s="187" customFormat="1" x14ac:dyDescent="0.25">
      <c r="A94" s="169"/>
      <c r="B94" s="170" t="s">
        <v>308</v>
      </c>
      <c r="C94" s="172" t="s">
        <v>309</v>
      </c>
      <c r="D94" s="191">
        <f>D95</f>
        <v>25440000</v>
      </c>
      <c r="E94" s="191">
        <f t="shared" ref="E94:G94" si="40">E95</f>
        <v>16900000</v>
      </c>
      <c r="F94" s="191">
        <f t="shared" si="40"/>
        <v>1260000</v>
      </c>
      <c r="G94" s="196">
        <f t="shared" si="40"/>
        <v>18160000</v>
      </c>
      <c r="H94" s="236">
        <f>G94/D94</f>
        <v>0.71383647798742134</v>
      </c>
      <c r="I94" s="216"/>
      <c r="J94" s="297"/>
      <c r="K94" s="298"/>
    </row>
    <row r="95" spans="1:11" s="176" customFormat="1" x14ac:dyDescent="0.25">
      <c r="A95" s="188"/>
      <c r="B95" s="178" t="s">
        <v>512</v>
      </c>
      <c r="C95" s="171" t="s">
        <v>309</v>
      </c>
      <c r="D95" s="192">
        <v>25440000</v>
      </c>
      <c r="E95" s="192">
        <v>16900000</v>
      </c>
      <c r="F95" s="192">
        <v>1260000</v>
      </c>
      <c r="G95" s="181">
        <f>E95+F95</f>
        <v>18160000</v>
      </c>
      <c r="H95" s="24">
        <f>G95/D95</f>
        <v>0.71383647798742134</v>
      </c>
      <c r="I95" s="207"/>
      <c r="J95" s="294"/>
      <c r="K95" s="295"/>
    </row>
    <row r="96" spans="1:11" s="176" customFormat="1" x14ac:dyDescent="0.25">
      <c r="A96" s="169"/>
      <c r="B96" s="22"/>
      <c r="C96" s="25"/>
      <c r="D96" s="192"/>
      <c r="E96" s="192"/>
      <c r="F96" s="192"/>
      <c r="G96" s="196"/>
      <c r="H96" s="236"/>
      <c r="I96" s="221"/>
      <c r="J96" s="294"/>
      <c r="K96" s="295"/>
    </row>
    <row r="97" spans="1:11" s="176" customFormat="1" ht="24.75" customHeight="1" x14ac:dyDescent="0.25">
      <c r="A97" s="29" t="s">
        <v>74</v>
      </c>
      <c r="B97" s="22" t="s">
        <v>310</v>
      </c>
      <c r="C97" s="185" t="s">
        <v>682</v>
      </c>
      <c r="D97" s="196">
        <f>D98</f>
        <v>1000000000</v>
      </c>
      <c r="E97" s="196">
        <f t="shared" ref="E97:G99" si="41">E98</f>
        <v>311997100</v>
      </c>
      <c r="F97" s="196">
        <f t="shared" si="41"/>
        <v>213200000</v>
      </c>
      <c r="G97" s="196">
        <f t="shared" si="41"/>
        <v>525197100</v>
      </c>
      <c r="H97" s="236">
        <f>G97/D97</f>
        <v>0.52519709999999997</v>
      </c>
      <c r="I97" s="207"/>
      <c r="J97" s="294"/>
      <c r="K97" s="295"/>
    </row>
    <row r="98" spans="1:11" s="187" customFormat="1" x14ac:dyDescent="0.25">
      <c r="A98" s="169"/>
      <c r="B98" s="170" t="s">
        <v>288</v>
      </c>
      <c r="C98" s="185" t="s">
        <v>55</v>
      </c>
      <c r="D98" s="191">
        <f>D99</f>
        <v>1000000000</v>
      </c>
      <c r="E98" s="191">
        <f t="shared" si="41"/>
        <v>311997100</v>
      </c>
      <c r="F98" s="191">
        <f t="shared" si="41"/>
        <v>213200000</v>
      </c>
      <c r="G98" s="196">
        <f t="shared" si="41"/>
        <v>525197100</v>
      </c>
      <c r="H98" s="236">
        <f>G98/D98</f>
        <v>0.52519709999999997</v>
      </c>
      <c r="I98" s="216" t="s">
        <v>85</v>
      </c>
      <c r="J98" s="297"/>
      <c r="K98" s="298"/>
    </row>
    <row r="99" spans="1:11" s="187" customFormat="1" x14ac:dyDescent="0.25">
      <c r="A99" s="169"/>
      <c r="B99" s="170" t="s">
        <v>311</v>
      </c>
      <c r="C99" s="185" t="s">
        <v>312</v>
      </c>
      <c r="D99" s="191">
        <f>D100</f>
        <v>1000000000</v>
      </c>
      <c r="E99" s="191">
        <f t="shared" si="41"/>
        <v>311997100</v>
      </c>
      <c r="F99" s="191">
        <f t="shared" si="41"/>
        <v>213200000</v>
      </c>
      <c r="G99" s="196">
        <f t="shared" si="41"/>
        <v>525197100</v>
      </c>
      <c r="H99" s="236">
        <f>G99/D99</f>
        <v>0.52519709999999997</v>
      </c>
      <c r="I99" s="216"/>
      <c r="J99" s="297"/>
      <c r="K99" s="298"/>
    </row>
    <row r="100" spans="1:11" s="176" customFormat="1" x14ac:dyDescent="0.25">
      <c r="A100" s="188"/>
      <c r="B100" s="178" t="s">
        <v>513</v>
      </c>
      <c r="C100" s="183" t="s">
        <v>312</v>
      </c>
      <c r="D100" s="192">
        <v>1000000000</v>
      </c>
      <c r="E100" s="192">
        <v>311997100</v>
      </c>
      <c r="F100" s="192">
        <v>213200000</v>
      </c>
      <c r="G100" s="181">
        <f>E100+F100</f>
        <v>525197100</v>
      </c>
      <c r="H100" s="24">
        <f>G100/D100</f>
        <v>0.52519709999999997</v>
      </c>
      <c r="I100" s="207"/>
      <c r="J100" s="294"/>
      <c r="K100" s="295"/>
    </row>
    <row r="101" spans="1:11" s="176" customFormat="1" x14ac:dyDescent="0.25">
      <c r="A101" s="188"/>
      <c r="B101" s="178"/>
      <c r="C101" s="183"/>
      <c r="D101" s="192"/>
      <c r="E101" s="192"/>
      <c r="F101" s="192"/>
      <c r="G101" s="196"/>
      <c r="H101" s="236"/>
      <c r="I101" s="207"/>
      <c r="J101" s="294"/>
      <c r="K101" s="295"/>
    </row>
    <row r="102" spans="1:11" s="176" customFormat="1" ht="41.25" customHeight="1" x14ac:dyDescent="0.25">
      <c r="A102" s="168" t="s">
        <v>86</v>
      </c>
      <c r="B102" s="189" t="s">
        <v>313</v>
      </c>
      <c r="C102" s="30" t="s">
        <v>87</v>
      </c>
      <c r="D102" s="196">
        <f>SUM(D103)</f>
        <v>1663748323.6700001</v>
      </c>
      <c r="E102" s="196">
        <f t="shared" ref="E102:G102" si="42">SUM(E103)</f>
        <v>1079761191</v>
      </c>
      <c r="F102" s="196">
        <f t="shared" si="42"/>
        <v>0</v>
      </c>
      <c r="G102" s="196">
        <f t="shared" si="42"/>
        <v>1079761191</v>
      </c>
      <c r="H102" s="236">
        <f>G102/D102</f>
        <v>0.64899310529022514</v>
      </c>
      <c r="I102" s="209"/>
      <c r="J102" s="294"/>
      <c r="K102" s="295"/>
    </row>
    <row r="103" spans="1:11" s="176" customFormat="1" ht="32.25" customHeight="1" x14ac:dyDescent="0.25">
      <c r="A103" s="188"/>
      <c r="B103" s="189" t="s">
        <v>314</v>
      </c>
      <c r="C103" s="30" t="s">
        <v>88</v>
      </c>
      <c r="D103" s="191">
        <f>SUM(D104:D106)</f>
        <v>1663748323.6700001</v>
      </c>
      <c r="E103" s="191">
        <f t="shared" ref="E103:G103" si="43">SUM(E104:E106)</f>
        <v>1079761191</v>
      </c>
      <c r="F103" s="191">
        <f t="shared" si="43"/>
        <v>0</v>
      </c>
      <c r="G103" s="196">
        <f t="shared" si="43"/>
        <v>1079761191</v>
      </c>
      <c r="H103" s="236">
        <f>G103/D103</f>
        <v>0.64899310529022514</v>
      </c>
      <c r="I103" s="209"/>
      <c r="J103" s="294"/>
      <c r="K103" s="295"/>
    </row>
    <row r="104" spans="1:11" s="176" customFormat="1" x14ac:dyDescent="0.25">
      <c r="A104" s="184" t="s">
        <v>89</v>
      </c>
      <c r="B104" s="190" t="s">
        <v>314</v>
      </c>
      <c r="C104" s="183" t="s">
        <v>90</v>
      </c>
      <c r="D104" s="192">
        <v>895097347.66999996</v>
      </c>
      <c r="E104" s="192">
        <v>1079761191</v>
      </c>
      <c r="F104" s="192"/>
      <c r="G104" s="181">
        <f>E104+F104</f>
        <v>1079761191</v>
      </c>
      <c r="H104" s="24">
        <f>G104/D104</f>
        <v>1.2063058770207427</v>
      </c>
      <c r="I104" s="207"/>
      <c r="J104" s="294"/>
      <c r="K104" s="295"/>
    </row>
    <row r="105" spans="1:11" s="176" customFormat="1" x14ac:dyDescent="0.25">
      <c r="A105" s="184" t="s">
        <v>91</v>
      </c>
      <c r="B105" s="190" t="s">
        <v>314</v>
      </c>
      <c r="C105" s="183" t="s">
        <v>92</v>
      </c>
      <c r="D105" s="192">
        <v>455948308</v>
      </c>
      <c r="E105" s="192">
        <v>0</v>
      </c>
      <c r="F105" s="192"/>
      <c r="G105" s="181">
        <f t="shared" ref="G105:G106" si="44">E105+F105</f>
        <v>0</v>
      </c>
      <c r="H105" s="24">
        <f>G105/D105</f>
        <v>0</v>
      </c>
      <c r="I105" s="207" t="s">
        <v>93</v>
      </c>
      <c r="J105" s="294"/>
      <c r="K105" s="295"/>
    </row>
    <row r="106" spans="1:11" s="176" customFormat="1" x14ac:dyDescent="0.25">
      <c r="A106" s="184" t="s">
        <v>72</v>
      </c>
      <c r="B106" s="190" t="s">
        <v>314</v>
      </c>
      <c r="C106" s="183" t="s">
        <v>94</v>
      </c>
      <c r="D106" s="192">
        <v>312702668</v>
      </c>
      <c r="E106" s="192">
        <v>0</v>
      </c>
      <c r="F106" s="192"/>
      <c r="G106" s="181">
        <f t="shared" si="44"/>
        <v>0</v>
      </c>
      <c r="H106" s="24">
        <f>G106/D106</f>
        <v>0</v>
      </c>
      <c r="I106" s="207"/>
      <c r="J106" s="294"/>
      <c r="K106" s="295"/>
    </row>
    <row r="107" spans="1:11" s="176" customFormat="1" x14ac:dyDescent="0.25">
      <c r="A107" s="188"/>
      <c r="B107" s="178"/>
      <c r="C107" s="183"/>
      <c r="D107" s="192"/>
      <c r="E107" s="192"/>
      <c r="F107" s="192"/>
      <c r="G107" s="196"/>
      <c r="H107" s="236"/>
      <c r="I107" s="207"/>
      <c r="J107" s="294"/>
      <c r="K107" s="295"/>
    </row>
    <row r="108" spans="1:11" s="176" customFormat="1" ht="21" customHeight="1" x14ac:dyDescent="0.25">
      <c r="A108" s="169" t="s">
        <v>95</v>
      </c>
      <c r="B108" s="189" t="s">
        <v>315</v>
      </c>
      <c r="C108" s="185" t="s">
        <v>96</v>
      </c>
      <c r="D108" s="191">
        <f>SUM(D110+D121+D125+D129+D142+D144+D157+D159+D166+D206+D220+D226+D115+D118+D138)</f>
        <v>180895484691</v>
      </c>
      <c r="E108" s="191">
        <f>SUM(E110+E121+E125+E129+E142+E144+E157+E159+E166+E206+E220+E226+E115+E118+E138)</f>
        <v>186502848042.25</v>
      </c>
      <c r="F108" s="191">
        <f>SUM(F110+F121+F125+F129+F142+F144+F157+F159+F166+F206+F220+F226+F115+F118+F138)</f>
        <v>17882672475.080002</v>
      </c>
      <c r="G108" s="196">
        <f>SUM(G110+G121+G125+G129+G142+G144+G157+G159+G166+G206+G220+G226+G115+G118+G138)</f>
        <v>204385520517.33002</v>
      </c>
      <c r="H108" s="236">
        <f>G108/D108</f>
        <v>1.1298541855063711</v>
      </c>
      <c r="I108" s="209"/>
      <c r="J108" s="294"/>
      <c r="K108" s="296"/>
    </row>
    <row r="109" spans="1:11" s="176" customFormat="1" x14ac:dyDescent="0.25">
      <c r="A109" s="169"/>
      <c r="B109" s="31"/>
      <c r="C109" s="32"/>
      <c r="D109" s="192"/>
      <c r="E109" s="192"/>
      <c r="F109" s="192"/>
      <c r="G109" s="196"/>
      <c r="H109" s="236"/>
      <c r="I109" s="209"/>
      <c r="J109" s="294"/>
      <c r="K109" s="295"/>
    </row>
    <row r="110" spans="1:11" s="176" customFormat="1" x14ac:dyDescent="0.25">
      <c r="A110" s="168" t="s">
        <v>19</v>
      </c>
      <c r="B110" s="189" t="s">
        <v>587</v>
      </c>
      <c r="C110" s="180" t="s">
        <v>589</v>
      </c>
      <c r="D110" s="191">
        <f>D112</f>
        <v>3029424600</v>
      </c>
      <c r="E110" s="191">
        <f t="shared" ref="E110:G110" si="45">E112</f>
        <v>880302000</v>
      </c>
      <c r="F110" s="191">
        <f t="shared" si="45"/>
        <v>0</v>
      </c>
      <c r="G110" s="196">
        <f t="shared" si="45"/>
        <v>880302000</v>
      </c>
      <c r="H110" s="236">
        <f>G110/D110</f>
        <v>0.29058389504066218</v>
      </c>
      <c r="I110" s="209"/>
      <c r="J110" s="294"/>
      <c r="K110" s="295"/>
    </row>
    <row r="111" spans="1:11" s="176" customFormat="1" x14ac:dyDescent="0.25">
      <c r="A111" s="168"/>
      <c r="B111" s="189" t="s">
        <v>588</v>
      </c>
      <c r="C111" s="180" t="s">
        <v>589</v>
      </c>
      <c r="D111" s="191"/>
      <c r="E111" s="191"/>
      <c r="F111" s="192"/>
      <c r="G111" s="196"/>
      <c r="H111" s="236"/>
      <c r="I111" s="209"/>
      <c r="J111" s="294"/>
      <c r="K111" s="295"/>
    </row>
    <row r="112" spans="1:11" s="176" customFormat="1" x14ac:dyDescent="0.25">
      <c r="A112" s="168"/>
      <c r="B112" s="189" t="s">
        <v>584</v>
      </c>
      <c r="C112" s="180" t="s">
        <v>585</v>
      </c>
      <c r="D112" s="191">
        <f>D113</f>
        <v>3029424600</v>
      </c>
      <c r="E112" s="191">
        <f t="shared" ref="E112:G112" si="46">E113</f>
        <v>880302000</v>
      </c>
      <c r="F112" s="191">
        <f t="shared" si="46"/>
        <v>0</v>
      </c>
      <c r="G112" s="196">
        <f t="shared" si="46"/>
        <v>880302000</v>
      </c>
      <c r="H112" s="236">
        <f>G112/D112</f>
        <v>0.29058389504066218</v>
      </c>
      <c r="I112" s="209"/>
      <c r="J112" s="294"/>
      <c r="K112" s="295"/>
    </row>
    <row r="113" spans="1:11" s="176" customFormat="1" x14ac:dyDescent="0.25">
      <c r="A113" s="168"/>
      <c r="B113" s="190"/>
      <c r="C113" s="33" t="s">
        <v>586</v>
      </c>
      <c r="D113" s="192">
        <v>3029424600</v>
      </c>
      <c r="E113" s="192">
        <v>880302000</v>
      </c>
      <c r="F113" s="192"/>
      <c r="G113" s="181">
        <f>E113+F113</f>
        <v>880302000</v>
      </c>
      <c r="H113" s="24">
        <f>G113/D113</f>
        <v>0.29058389504066218</v>
      </c>
      <c r="I113" s="209"/>
      <c r="J113" s="294"/>
      <c r="K113" s="295"/>
    </row>
    <row r="114" spans="1:11" s="176" customFormat="1" x14ac:dyDescent="0.25">
      <c r="A114" s="169"/>
      <c r="B114" s="31"/>
      <c r="C114" s="32"/>
      <c r="D114" s="192"/>
      <c r="E114" s="192"/>
      <c r="F114" s="192"/>
      <c r="G114" s="196"/>
      <c r="H114" s="24"/>
      <c r="I114" s="209"/>
      <c r="J114" s="294"/>
      <c r="K114" s="295"/>
    </row>
    <row r="115" spans="1:11" s="176" customFormat="1" x14ac:dyDescent="0.25">
      <c r="A115" s="168"/>
      <c r="B115" s="190" t="s">
        <v>590</v>
      </c>
      <c r="C115" s="172" t="s">
        <v>581</v>
      </c>
      <c r="D115" s="191">
        <f>SUM(D116)</f>
        <v>20000000</v>
      </c>
      <c r="E115" s="191">
        <f>E116</f>
        <v>219945000</v>
      </c>
      <c r="F115" s="191">
        <f t="shared" ref="F115:G115" si="47">SUM(F116)</f>
        <v>6910800</v>
      </c>
      <c r="G115" s="196">
        <f t="shared" si="47"/>
        <v>226855800</v>
      </c>
      <c r="H115" s="236">
        <f t="shared" ref="H115:H116" si="48">G115/D115</f>
        <v>11.342790000000001</v>
      </c>
      <c r="I115" s="207"/>
      <c r="J115" s="294"/>
      <c r="K115" s="295"/>
    </row>
    <row r="116" spans="1:11" s="176" customFormat="1" x14ac:dyDescent="0.25">
      <c r="A116" s="168"/>
      <c r="B116" s="189"/>
      <c r="C116" s="193" t="s">
        <v>622</v>
      </c>
      <c r="D116" s="192">
        <v>20000000</v>
      </c>
      <c r="E116" s="192">
        <v>219945000</v>
      </c>
      <c r="F116" s="192">
        <f>3690800+3220000</f>
        <v>6910800</v>
      </c>
      <c r="G116" s="181">
        <f>E116+F116</f>
        <v>226855800</v>
      </c>
      <c r="H116" s="24">
        <f t="shared" si="48"/>
        <v>11.342790000000001</v>
      </c>
      <c r="I116" s="207"/>
      <c r="J116" s="294"/>
      <c r="K116" s="296"/>
    </row>
    <row r="117" spans="1:11" s="176" customFormat="1" x14ac:dyDescent="0.25">
      <c r="A117" s="168"/>
      <c r="B117" s="189"/>
      <c r="C117" s="193"/>
      <c r="D117" s="192"/>
      <c r="E117" s="192"/>
      <c r="F117" s="192"/>
      <c r="G117" s="181"/>
      <c r="H117" s="236"/>
      <c r="I117" s="207"/>
      <c r="J117" s="294"/>
      <c r="K117" s="295"/>
    </row>
    <row r="118" spans="1:11" s="176" customFormat="1" x14ac:dyDescent="0.25">
      <c r="A118" s="169"/>
      <c r="B118" s="190" t="s">
        <v>318</v>
      </c>
      <c r="C118" s="172" t="s">
        <v>319</v>
      </c>
      <c r="D118" s="191">
        <f>SUM(D119:D119)</f>
        <v>801206585</v>
      </c>
      <c r="E118" s="191">
        <f t="shared" ref="E118:G118" si="49">SUM(E119:E119)</f>
        <v>830953335</v>
      </c>
      <c r="F118" s="191">
        <f t="shared" si="49"/>
        <v>22780000</v>
      </c>
      <c r="G118" s="196">
        <f t="shared" si="49"/>
        <v>853733335</v>
      </c>
      <c r="H118" s="236">
        <f>G118/D118</f>
        <v>1.0655595585250963</v>
      </c>
      <c r="I118" s="209"/>
      <c r="J118" s="294"/>
      <c r="K118" s="295"/>
    </row>
    <row r="119" spans="1:11" s="176" customFormat="1" x14ac:dyDescent="0.25">
      <c r="A119" s="169"/>
      <c r="B119" s="190"/>
      <c r="C119" s="193" t="s">
        <v>670</v>
      </c>
      <c r="D119" s="192">
        <v>801206585</v>
      </c>
      <c r="E119" s="192">
        <v>830953335</v>
      </c>
      <c r="F119" s="192">
        <f>26000000-3220000</f>
        <v>22780000</v>
      </c>
      <c r="G119" s="181">
        <f t="shared" ref="G119" si="50">E119+F119</f>
        <v>853733335</v>
      </c>
      <c r="H119" s="24">
        <f t="shared" ref="H119" si="51">G119/D119</f>
        <v>1.0655595585250963</v>
      </c>
      <c r="I119" s="209"/>
      <c r="J119" s="294"/>
      <c r="K119" s="296"/>
    </row>
    <row r="120" spans="1:11" s="176" customFormat="1" x14ac:dyDescent="0.25">
      <c r="A120" s="169"/>
      <c r="B120" s="190"/>
      <c r="C120" s="193"/>
      <c r="D120" s="192"/>
      <c r="E120" s="191">
        <f>'Realisasi Sept'!G120</f>
        <v>0</v>
      </c>
      <c r="F120" s="192"/>
      <c r="G120" s="196"/>
      <c r="H120" s="236"/>
      <c r="I120" s="209"/>
      <c r="J120" s="294"/>
      <c r="K120" s="295"/>
    </row>
    <row r="121" spans="1:11" s="176" customFormat="1" x14ac:dyDescent="0.25">
      <c r="A121" s="168" t="s">
        <v>46</v>
      </c>
      <c r="B121" s="189" t="s">
        <v>342</v>
      </c>
      <c r="C121" s="185" t="s">
        <v>343</v>
      </c>
      <c r="D121" s="191">
        <f>D122</f>
        <v>1000000000</v>
      </c>
      <c r="E121" s="191">
        <f>E122</f>
        <v>1000555554</v>
      </c>
      <c r="F121" s="191">
        <f t="shared" ref="F121:G122" si="52">F122</f>
        <v>999444445</v>
      </c>
      <c r="G121" s="196">
        <f t="shared" si="52"/>
        <v>1999999999</v>
      </c>
      <c r="H121" s="236">
        <f>G121/D121</f>
        <v>1.9999999989999999</v>
      </c>
      <c r="I121" s="209"/>
      <c r="J121" s="294"/>
      <c r="K121" s="295"/>
    </row>
    <row r="122" spans="1:11" s="187" customFormat="1" x14ac:dyDescent="0.25">
      <c r="A122" s="169"/>
      <c r="B122" s="189" t="s">
        <v>344</v>
      </c>
      <c r="C122" s="185" t="s">
        <v>349</v>
      </c>
      <c r="D122" s="191">
        <f>D123</f>
        <v>1000000000</v>
      </c>
      <c r="E122" s="191">
        <f>E123</f>
        <v>1000555554</v>
      </c>
      <c r="F122" s="191">
        <f t="shared" si="52"/>
        <v>999444445</v>
      </c>
      <c r="G122" s="196">
        <f t="shared" si="52"/>
        <v>1999999999</v>
      </c>
      <c r="H122" s="236">
        <f>G122/D122</f>
        <v>1.9999999989999999</v>
      </c>
      <c r="I122" s="210"/>
      <c r="J122" s="297"/>
      <c r="K122" s="298"/>
    </row>
    <row r="123" spans="1:11" s="176" customFormat="1" x14ac:dyDescent="0.25">
      <c r="A123" s="169"/>
      <c r="B123" s="190" t="s">
        <v>730</v>
      </c>
      <c r="C123" s="171" t="s">
        <v>162</v>
      </c>
      <c r="D123" s="192">
        <v>1000000000</v>
      </c>
      <c r="E123" s="192">
        <v>1000555554</v>
      </c>
      <c r="F123" s="192">
        <v>999444445</v>
      </c>
      <c r="G123" s="181">
        <f>E123+F123</f>
        <v>1999999999</v>
      </c>
      <c r="H123" s="24">
        <f>G123/D123</f>
        <v>1.9999999989999999</v>
      </c>
      <c r="I123" s="209"/>
      <c r="J123" s="294"/>
      <c r="K123" s="295"/>
    </row>
    <row r="124" spans="1:11" s="176" customFormat="1" x14ac:dyDescent="0.25">
      <c r="A124" s="169"/>
      <c r="B124" s="190"/>
      <c r="C124" s="193"/>
      <c r="D124" s="192"/>
      <c r="E124" s="191"/>
      <c r="F124" s="192"/>
      <c r="G124" s="191"/>
      <c r="H124" s="236"/>
      <c r="I124" s="209"/>
      <c r="J124" s="427"/>
      <c r="K124" s="433"/>
    </row>
    <row r="125" spans="1:11" s="176" customFormat="1" x14ac:dyDescent="0.25">
      <c r="A125" s="168" t="s">
        <v>8</v>
      </c>
      <c r="B125" s="189" t="s">
        <v>320</v>
      </c>
      <c r="C125" s="185" t="s">
        <v>97</v>
      </c>
      <c r="D125" s="196">
        <f>SUM(D126:D127)</f>
        <v>2750000000</v>
      </c>
      <c r="E125" s="196">
        <f t="shared" ref="E125:G125" si="53">SUM(E126:E127)</f>
        <v>3228034333.3299999</v>
      </c>
      <c r="F125" s="196">
        <f t="shared" si="53"/>
        <v>312677885.68000001</v>
      </c>
      <c r="G125" s="196">
        <f t="shared" si="53"/>
        <v>3540712219.0099998</v>
      </c>
      <c r="H125" s="236">
        <f>G125/D125</f>
        <v>1.2875317160036364</v>
      </c>
      <c r="I125" s="207"/>
      <c r="J125" s="294"/>
      <c r="K125" s="295"/>
    </row>
    <row r="126" spans="1:11" s="176" customFormat="1" x14ac:dyDescent="0.25">
      <c r="A126" s="188"/>
      <c r="B126" s="190" t="s">
        <v>514</v>
      </c>
      <c r="C126" s="183" t="s">
        <v>515</v>
      </c>
      <c r="D126" s="192">
        <v>2500000000</v>
      </c>
      <c r="E126" s="192">
        <v>3146689890.3299999</v>
      </c>
      <c r="F126" s="192">
        <v>303852513.68000001</v>
      </c>
      <c r="G126" s="192">
        <f>E126+F126</f>
        <v>3450542404.0099998</v>
      </c>
      <c r="H126" s="24">
        <f>G126/D126</f>
        <v>1.3802169616039999</v>
      </c>
      <c r="I126" s="207"/>
      <c r="J126" s="294"/>
      <c r="K126" s="296"/>
    </row>
    <row r="127" spans="1:11" s="176" customFormat="1" x14ac:dyDescent="0.25">
      <c r="A127" s="188"/>
      <c r="B127" s="190" t="s">
        <v>517</v>
      </c>
      <c r="C127" s="183" t="s">
        <v>516</v>
      </c>
      <c r="D127" s="192">
        <v>250000000</v>
      </c>
      <c r="E127" s="192">
        <v>81344443</v>
      </c>
      <c r="F127" s="192">
        <v>8825372</v>
      </c>
      <c r="G127" s="192">
        <f>E127+F127</f>
        <v>90169815</v>
      </c>
      <c r="H127" s="24">
        <f>G127/D127</f>
        <v>0.36067926</v>
      </c>
      <c r="I127" s="207"/>
      <c r="J127" s="294"/>
      <c r="K127" s="296"/>
    </row>
    <row r="128" spans="1:11" s="176" customFormat="1" x14ac:dyDescent="0.25">
      <c r="A128" s="188"/>
      <c r="B128" s="178"/>
      <c r="C128" s="183"/>
      <c r="D128" s="192"/>
      <c r="E128" s="191"/>
      <c r="F128" s="192"/>
      <c r="G128" s="191"/>
      <c r="H128" s="236"/>
      <c r="I128" s="207"/>
      <c r="J128" s="294"/>
      <c r="K128" s="296"/>
    </row>
    <row r="129" spans="1:11" s="176" customFormat="1" x14ac:dyDescent="0.25">
      <c r="A129" s="168" t="s">
        <v>49</v>
      </c>
      <c r="B129" s="189" t="s">
        <v>321</v>
      </c>
      <c r="C129" s="180" t="s">
        <v>98</v>
      </c>
      <c r="D129" s="196">
        <f>D130</f>
        <v>3100000000</v>
      </c>
      <c r="E129" s="196">
        <f>E130</f>
        <v>711227388.30999994</v>
      </c>
      <c r="F129" s="196">
        <f t="shared" ref="F129:G129" si="54">F130</f>
        <v>82418671.640000001</v>
      </c>
      <c r="G129" s="196">
        <f t="shared" si="54"/>
        <v>793646059.94999993</v>
      </c>
      <c r="H129" s="236">
        <f t="shared" ref="H129:H135" si="55">G129/D129</f>
        <v>0.25601485804838708</v>
      </c>
      <c r="I129" s="207"/>
      <c r="J129" s="294"/>
      <c r="K129" s="296"/>
    </row>
    <row r="130" spans="1:11" s="176" customFormat="1" x14ac:dyDescent="0.25">
      <c r="A130" s="168"/>
      <c r="B130" s="189" t="s">
        <v>322</v>
      </c>
      <c r="C130" s="180" t="s">
        <v>323</v>
      </c>
      <c r="D130" s="196">
        <f>D131</f>
        <v>3100000000</v>
      </c>
      <c r="E130" s="196">
        <f t="shared" ref="E130:G130" si="56">E131</f>
        <v>711227388.30999994</v>
      </c>
      <c r="F130" s="196">
        <f t="shared" si="56"/>
        <v>82418671.640000001</v>
      </c>
      <c r="G130" s="196">
        <f t="shared" si="56"/>
        <v>793646059.94999993</v>
      </c>
      <c r="H130" s="236">
        <f t="shared" si="55"/>
        <v>0.25601485804838708</v>
      </c>
      <c r="I130" s="207"/>
      <c r="J130" s="294"/>
      <c r="K130" s="296"/>
    </row>
    <row r="131" spans="1:11" s="176" customFormat="1" x14ac:dyDescent="0.25">
      <c r="A131" s="168"/>
      <c r="B131" s="189" t="s">
        <v>518</v>
      </c>
      <c r="C131" s="180" t="s">
        <v>323</v>
      </c>
      <c r="D131" s="196">
        <f>SUM(D132:D136)</f>
        <v>3100000000</v>
      </c>
      <c r="E131" s="196">
        <f>'Realisasi Nov'!G131</f>
        <v>711227388.30999994</v>
      </c>
      <c r="F131" s="196">
        <v>82418671.640000001</v>
      </c>
      <c r="G131" s="196">
        <f>E131+F131</f>
        <v>793646059.94999993</v>
      </c>
      <c r="H131" s="236">
        <f t="shared" si="55"/>
        <v>0.25601485804838708</v>
      </c>
      <c r="I131" s="207"/>
      <c r="J131" s="294"/>
      <c r="K131" s="296"/>
    </row>
    <row r="132" spans="1:11" s="176" customFormat="1" x14ac:dyDescent="0.25">
      <c r="A132" s="169"/>
      <c r="B132" s="177"/>
      <c r="C132" s="193" t="s">
        <v>324</v>
      </c>
      <c r="D132" s="181">
        <v>1200000000</v>
      </c>
      <c r="E132" s="192">
        <v>161164210</v>
      </c>
      <c r="F132" s="181"/>
      <c r="G132" s="192">
        <f>E132+F132</f>
        <v>161164210</v>
      </c>
      <c r="H132" s="24">
        <f t="shared" si="55"/>
        <v>0.13430350833333332</v>
      </c>
      <c r="I132" s="207"/>
      <c r="J132" s="294"/>
      <c r="K132" s="296"/>
    </row>
    <row r="133" spans="1:11" s="176" customFormat="1" x14ac:dyDescent="0.25">
      <c r="A133" s="169"/>
      <c r="B133" s="177"/>
      <c r="C133" s="193" t="s">
        <v>325</v>
      </c>
      <c r="D133" s="181">
        <v>600000000</v>
      </c>
      <c r="E133" s="192">
        <v>77935849.229999989</v>
      </c>
      <c r="F133" s="181"/>
      <c r="G133" s="192">
        <f t="shared" ref="G133:G136" si="57">E133+F133</f>
        <v>77935849.229999989</v>
      </c>
      <c r="H133" s="24">
        <f t="shared" si="55"/>
        <v>0.12989308204999997</v>
      </c>
      <c r="I133" s="207"/>
      <c r="J133" s="294"/>
      <c r="K133" s="296"/>
    </row>
    <row r="134" spans="1:11" s="176" customFormat="1" x14ac:dyDescent="0.25">
      <c r="A134" s="169"/>
      <c r="B134" s="178"/>
      <c r="C134" s="193" t="s">
        <v>578</v>
      </c>
      <c r="D134" s="181">
        <v>0</v>
      </c>
      <c r="E134" s="192">
        <v>37602740</v>
      </c>
      <c r="F134" s="181"/>
      <c r="G134" s="192">
        <f t="shared" si="57"/>
        <v>37602740</v>
      </c>
      <c r="H134" s="252" t="e">
        <f t="shared" si="55"/>
        <v>#DIV/0!</v>
      </c>
      <c r="I134" s="207"/>
      <c r="J134" s="294"/>
      <c r="K134" s="296"/>
    </row>
    <row r="135" spans="1:11" s="176" customFormat="1" x14ac:dyDescent="0.25">
      <c r="A135" s="169"/>
      <c r="B135" s="178"/>
      <c r="C135" s="193" t="s">
        <v>326</v>
      </c>
      <c r="D135" s="181">
        <v>800000000</v>
      </c>
      <c r="E135" s="192">
        <v>173431522</v>
      </c>
      <c r="F135" s="181"/>
      <c r="G135" s="192">
        <f t="shared" si="57"/>
        <v>173431522</v>
      </c>
      <c r="H135" s="24">
        <f t="shared" si="55"/>
        <v>0.21678940250000001</v>
      </c>
      <c r="I135" s="207"/>
      <c r="J135" s="294"/>
      <c r="K135" s="296"/>
    </row>
    <row r="136" spans="1:11" s="176" customFormat="1" x14ac:dyDescent="0.25">
      <c r="A136" s="169"/>
      <c r="B136" s="178"/>
      <c r="C136" s="193" t="s">
        <v>687</v>
      </c>
      <c r="D136" s="181">
        <v>500000000</v>
      </c>
      <c r="E136" s="192">
        <v>57020547.939999998</v>
      </c>
      <c r="F136" s="181"/>
      <c r="G136" s="192">
        <f t="shared" si="57"/>
        <v>57020547.939999998</v>
      </c>
      <c r="H136" s="24"/>
      <c r="I136" s="207"/>
      <c r="J136" s="294"/>
      <c r="K136" s="296"/>
    </row>
    <row r="137" spans="1:11" s="176" customFormat="1" x14ac:dyDescent="0.25">
      <c r="A137" s="169"/>
      <c r="B137" s="170"/>
      <c r="C137" s="185"/>
      <c r="D137" s="191"/>
      <c r="E137" s="191"/>
      <c r="F137" s="191"/>
      <c r="G137" s="192"/>
      <c r="H137" s="24"/>
      <c r="I137" s="207"/>
      <c r="J137" s="294"/>
      <c r="K137" s="296"/>
    </row>
    <row r="138" spans="1:11" s="176" customFormat="1" x14ac:dyDescent="0.25">
      <c r="A138" s="168" t="s">
        <v>53</v>
      </c>
      <c r="B138" s="189" t="s">
        <v>623</v>
      </c>
      <c r="C138" s="180" t="s">
        <v>626</v>
      </c>
      <c r="D138" s="196">
        <f>D139</f>
        <v>0</v>
      </c>
      <c r="E138" s="196">
        <f t="shared" ref="E138:G139" si="58">E139</f>
        <v>1345553428.0799997</v>
      </c>
      <c r="F138" s="196">
        <f t="shared" si="58"/>
        <v>240788424.31</v>
      </c>
      <c r="G138" s="196">
        <f t="shared" si="58"/>
        <v>1586341852.3899996</v>
      </c>
      <c r="H138" s="253" t="e">
        <f>G138/D138</f>
        <v>#DIV/0!</v>
      </c>
      <c r="I138" s="207"/>
      <c r="J138" s="294"/>
      <c r="K138" s="296"/>
    </row>
    <row r="139" spans="1:11" s="176" customFormat="1" x14ac:dyDescent="0.25">
      <c r="A139" s="169"/>
      <c r="B139" s="189" t="s">
        <v>624</v>
      </c>
      <c r="C139" s="180" t="s">
        <v>626</v>
      </c>
      <c r="D139" s="196">
        <f>D140</f>
        <v>0</v>
      </c>
      <c r="E139" s="196">
        <f t="shared" si="58"/>
        <v>1345553428.0799997</v>
      </c>
      <c r="F139" s="196">
        <f t="shared" si="58"/>
        <v>240788424.31</v>
      </c>
      <c r="G139" s="196">
        <f t="shared" si="58"/>
        <v>1586341852.3899996</v>
      </c>
      <c r="H139" s="253" t="e">
        <f>G139/D139</f>
        <v>#DIV/0!</v>
      </c>
      <c r="I139" s="207"/>
      <c r="J139" s="294"/>
      <c r="K139" s="296"/>
    </row>
    <row r="140" spans="1:11" s="176" customFormat="1" x14ac:dyDescent="0.25">
      <c r="A140" s="188"/>
      <c r="B140" s="190" t="s">
        <v>625</v>
      </c>
      <c r="C140" s="33" t="s">
        <v>626</v>
      </c>
      <c r="D140" s="181">
        <v>0</v>
      </c>
      <c r="E140" s="181">
        <v>1345553428.0799997</v>
      </c>
      <c r="F140" s="181">
        <v>240788424.31</v>
      </c>
      <c r="G140" s="181">
        <f>E140+F140</f>
        <v>1586341852.3899996</v>
      </c>
      <c r="H140" s="252" t="e">
        <f>G140/D140</f>
        <v>#DIV/0!</v>
      </c>
      <c r="I140" s="207"/>
      <c r="J140" s="294"/>
      <c r="K140" s="296"/>
    </row>
    <row r="141" spans="1:11" s="176" customFormat="1" x14ac:dyDescent="0.25">
      <c r="A141" s="169"/>
      <c r="B141" s="177"/>
      <c r="C141" s="193"/>
      <c r="D141" s="181"/>
      <c r="E141" s="181"/>
      <c r="F141" s="181"/>
      <c r="G141" s="192"/>
      <c r="H141" s="24"/>
      <c r="I141" s="207"/>
      <c r="J141" s="294"/>
      <c r="K141" s="295"/>
    </row>
    <row r="142" spans="1:11" s="176" customFormat="1" x14ac:dyDescent="0.25">
      <c r="A142" s="168" t="s">
        <v>62</v>
      </c>
      <c r="B142" s="179" t="s">
        <v>99</v>
      </c>
      <c r="C142" s="180" t="s">
        <v>100</v>
      </c>
      <c r="D142" s="191">
        <v>0</v>
      </c>
      <c r="E142" s="191">
        <f>'Realisasi April'!G135</f>
        <v>0</v>
      </c>
      <c r="F142" s="191">
        <v>0</v>
      </c>
      <c r="G142" s="191">
        <f>E142+F142</f>
        <v>0</v>
      </c>
      <c r="H142" s="236"/>
      <c r="I142" s="207"/>
      <c r="J142" s="294"/>
      <c r="K142" s="295"/>
    </row>
    <row r="143" spans="1:11" s="176" customFormat="1" x14ac:dyDescent="0.25">
      <c r="A143" s="169"/>
      <c r="B143" s="170"/>
      <c r="C143" s="185"/>
      <c r="D143" s="191"/>
      <c r="E143" s="191"/>
      <c r="F143" s="191"/>
      <c r="G143" s="191"/>
      <c r="H143" s="236"/>
      <c r="I143" s="207"/>
      <c r="J143" s="294"/>
      <c r="K143" s="295"/>
    </row>
    <row r="144" spans="1:11" s="176" customFormat="1" x14ac:dyDescent="0.25">
      <c r="A144" s="168" t="s">
        <v>66</v>
      </c>
      <c r="B144" s="189" t="s">
        <v>328</v>
      </c>
      <c r="C144" s="180" t="s">
        <v>101</v>
      </c>
      <c r="D144" s="191">
        <f>SUM(D145:D155)</f>
        <v>1175758877</v>
      </c>
      <c r="E144" s="191">
        <f t="shared" ref="E144:G144" si="59">SUM(E145:E155)</f>
        <v>1801051706</v>
      </c>
      <c r="F144" s="191">
        <f t="shared" si="59"/>
        <v>68918127</v>
      </c>
      <c r="G144" s="191">
        <f t="shared" si="59"/>
        <v>1869969833</v>
      </c>
      <c r="H144" s="236">
        <f t="shared" ref="H144:H152" si="60">G144/D144</f>
        <v>1.5904364998470686</v>
      </c>
      <c r="I144" s="207"/>
      <c r="J144" s="294"/>
      <c r="K144" s="295"/>
    </row>
    <row r="145" spans="1:11" s="176" customFormat="1" x14ac:dyDescent="0.25">
      <c r="A145" s="188"/>
      <c r="B145" s="190" t="s">
        <v>329</v>
      </c>
      <c r="C145" s="33" t="s">
        <v>102</v>
      </c>
      <c r="D145" s="192">
        <v>12881622</v>
      </c>
      <c r="E145" s="192">
        <v>21892978</v>
      </c>
      <c r="F145" s="192">
        <v>0</v>
      </c>
      <c r="G145" s="181">
        <f>E145+F145</f>
        <v>21892978</v>
      </c>
      <c r="H145" s="24">
        <f t="shared" si="60"/>
        <v>1.699551345319712</v>
      </c>
      <c r="I145" s="207"/>
      <c r="J145" s="294"/>
      <c r="K145" s="296"/>
    </row>
    <row r="146" spans="1:11" s="176" customFormat="1" x14ac:dyDescent="0.25">
      <c r="A146" s="188"/>
      <c r="B146" s="190" t="s">
        <v>330</v>
      </c>
      <c r="C146" s="33" t="s">
        <v>103</v>
      </c>
      <c r="D146" s="192">
        <v>20147339</v>
      </c>
      <c r="E146" s="192">
        <v>47023417</v>
      </c>
      <c r="F146" s="192">
        <v>3544822</v>
      </c>
      <c r="G146" s="181">
        <f t="shared" ref="G146:G154" si="61">E146+F146</f>
        <v>50568239</v>
      </c>
      <c r="H146" s="24">
        <f t="shared" si="60"/>
        <v>2.509921483924006</v>
      </c>
      <c r="I146" s="207"/>
      <c r="J146" s="294"/>
      <c r="K146" s="296"/>
    </row>
    <row r="147" spans="1:11" s="176" customFormat="1" x14ac:dyDescent="0.25">
      <c r="A147" s="188"/>
      <c r="B147" s="190" t="s">
        <v>331</v>
      </c>
      <c r="C147" s="33" t="s">
        <v>104</v>
      </c>
      <c r="D147" s="192">
        <v>8222100</v>
      </c>
      <c r="E147" s="192">
        <v>34030957</v>
      </c>
      <c r="F147" s="192">
        <v>1599024</v>
      </c>
      <c r="G147" s="181">
        <f t="shared" si="61"/>
        <v>35629981</v>
      </c>
      <c r="H147" s="24">
        <f t="shared" si="60"/>
        <v>4.3334404835747558</v>
      </c>
      <c r="I147" s="207"/>
      <c r="J147" s="294"/>
      <c r="K147" s="295"/>
    </row>
    <row r="148" spans="1:11" s="176" customFormat="1" x14ac:dyDescent="0.25">
      <c r="A148" s="188"/>
      <c r="B148" s="190" t="s">
        <v>332</v>
      </c>
      <c r="C148" s="33" t="s">
        <v>105</v>
      </c>
      <c r="D148" s="192">
        <v>1112877</v>
      </c>
      <c r="E148" s="192">
        <v>2702980</v>
      </c>
      <c r="F148" s="192">
        <v>1060964</v>
      </c>
      <c r="G148" s="181">
        <f t="shared" si="61"/>
        <v>3763944</v>
      </c>
      <c r="H148" s="24">
        <f t="shared" si="60"/>
        <v>3.3821743103685313</v>
      </c>
      <c r="I148" s="207"/>
      <c r="J148" s="294"/>
      <c r="K148" s="295"/>
    </row>
    <row r="149" spans="1:11" s="176" customFormat="1" x14ac:dyDescent="0.25">
      <c r="A149" s="188"/>
      <c r="B149" s="190" t="s">
        <v>333</v>
      </c>
      <c r="C149" s="33" t="s">
        <v>106</v>
      </c>
      <c r="D149" s="192">
        <v>818170264</v>
      </c>
      <c r="E149" s="192">
        <v>862809050</v>
      </c>
      <c r="F149" s="192">
        <v>110</v>
      </c>
      <c r="G149" s="181">
        <f t="shared" si="61"/>
        <v>862809160</v>
      </c>
      <c r="H149" s="24">
        <f t="shared" si="60"/>
        <v>1.0545594211426876</v>
      </c>
      <c r="I149" s="207"/>
      <c r="J149" s="294"/>
      <c r="K149" s="295"/>
    </row>
    <row r="150" spans="1:11" s="176" customFormat="1" x14ac:dyDescent="0.25">
      <c r="A150" s="188"/>
      <c r="B150" s="190" t="s">
        <v>334</v>
      </c>
      <c r="C150" s="33" t="s">
        <v>107</v>
      </c>
      <c r="D150" s="192">
        <v>2128173</v>
      </c>
      <c r="E150" s="192">
        <v>6175941</v>
      </c>
      <c r="F150" s="192">
        <v>297264</v>
      </c>
      <c r="G150" s="181">
        <f t="shared" si="61"/>
        <v>6473205</v>
      </c>
      <c r="H150" s="24">
        <f t="shared" si="60"/>
        <v>3.0416723640418333</v>
      </c>
      <c r="I150" s="207"/>
      <c r="J150" s="294"/>
      <c r="K150" s="295"/>
    </row>
    <row r="151" spans="1:11" s="176" customFormat="1" x14ac:dyDescent="0.25">
      <c r="A151" s="188"/>
      <c r="B151" s="190" t="s">
        <v>335</v>
      </c>
      <c r="C151" s="33" t="s">
        <v>108</v>
      </c>
      <c r="D151" s="192">
        <v>11665567</v>
      </c>
      <c r="E151" s="192">
        <v>18520345</v>
      </c>
      <c r="F151" s="192"/>
      <c r="G151" s="181">
        <f t="shared" si="61"/>
        <v>18520345</v>
      </c>
      <c r="H151" s="24">
        <f t="shared" si="60"/>
        <v>1.5876077862310507</v>
      </c>
      <c r="I151" s="207"/>
      <c r="J151" s="294"/>
      <c r="K151" s="295"/>
    </row>
    <row r="152" spans="1:11" s="176" customFormat="1" x14ac:dyDescent="0.25">
      <c r="A152" s="188"/>
      <c r="B152" s="190" t="s">
        <v>336</v>
      </c>
      <c r="C152" s="33" t="s">
        <v>109</v>
      </c>
      <c r="D152" s="192">
        <v>1001910</v>
      </c>
      <c r="E152" s="192">
        <v>4224330</v>
      </c>
      <c r="F152" s="192">
        <v>178500</v>
      </c>
      <c r="G152" s="181">
        <f t="shared" si="61"/>
        <v>4402830</v>
      </c>
      <c r="H152" s="24">
        <f t="shared" si="60"/>
        <v>4.3944366260442553</v>
      </c>
      <c r="I152" s="207"/>
      <c r="J152" s="294"/>
      <c r="K152" s="295"/>
    </row>
    <row r="153" spans="1:11" s="176" customFormat="1" x14ac:dyDescent="0.25">
      <c r="A153" s="188"/>
      <c r="B153" s="190" t="s">
        <v>484</v>
      </c>
      <c r="C153" s="33" t="s">
        <v>482</v>
      </c>
      <c r="D153" s="192">
        <v>0</v>
      </c>
      <c r="E153" s="192">
        <v>0</v>
      </c>
      <c r="F153" s="192"/>
      <c r="G153" s="181">
        <f t="shared" si="61"/>
        <v>0</v>
      </c>
      <c r="H153" s="24"/>
      <c r="I153" s="207"/>
      <c r="J153" s="294"/>
      <c r="K153" s="295"/>
    </row>
    <row r="154" spans="1:11" s="176" customFormat="1" x14ac:dyDescent="0.25">
      <c r="A154" s="188"/>
      <c r="B154" s="190" t="s">
        <v>337</v>
      </c>
      <c r="C154" s="33" t="s">
        <v>110</v>
      </c>
      <c r="D154" s="192">
        <v>300429025</v>
      </c>
      <c r="E154" s="192">
        <v>803671708</v>
      </c>
      <c r="F154" s="192">
        <f>61871587+365856</f>
        <v>62237443</v>
      </c>
      <c r="G154" s="181">
        <f t="shared" si="61"/>
        <v>865909151</v>
      </c>
      <c r="H154" s="24">
        <f>G154/D154</f>
        <v>2.8822419904335144</v>
      </c>
      <c r="I154" s="207"/>
      <c r="J154" s="294"/>
      <c r="K154" s="295"/>
    </row>
    <row r="155" spans="1:11" s="176" customFormat="1" x14ac:dyDescent="0.25">
      <c r="A155" s="188"/>
      <c r="B155" s="190" t="s">
        <v>485</v>
      </c>
      <c r="C155" s="33" t="s">
        <v>483</v>
      </c>
      <c r="D155" s="192"/>
      <c r="E155" s="192">
        <f>'Realisasi Nov'!G155</f>
        <v>0</v>
      </c>
      <c r="F155" s="192"/>
      <c r="G155" s="192">
        <f>F155-D155</f>
        <v>0</v>
      </c>
      <c r="H155" s="252" t="e">
        <f>G155/D155</f>
        <v>#DIV/0!</v>
      </c>
      <c r="I155" s="207"/>
      <c r="J155" s="294"/>
      <c r="K155" s="295"/>
    </row>
    <row r="156" spans="1:11" s="176" customFormat="1" x14ac:dyDescent="0.25">
      <c r="A156" s="169"/>
      <c r="B156" s="170"/>
      <c r="C156" s="180"/>
      <c r="D156" s="191"/>
      <c r="E156" s="191"/>
      <c r="F156" s="191"/>
      <c r="G156" s="191"/>
      <c r="H156" s="252"/>
      <c r="I156" s="207"/>
      <c r="J156" s="294"/>
      <c r="K156" s="295"/>
    </row>
    <row r="157" spans="1:11" s="176" customFormat="1" x14ac:dyDescent="0.25">
      <c r="A157" s="168" t="s">
        <v>73</v>
      </c>
      <c r="B157" s="189" t="s">
        <v>327</v>
      </c>
      <c r="C157" s="185" t="s">
        <v>111</v>
      </c>
      <c r="D157" s="191"/>
      <c r="E157" s="191">
        <f>'Realisasi April'!G150</f>
        <v>0</v>
      </c>
      <c r="F157" s="191"/>
      <c r="G157" s="191"/>
      <c r="H157" s="253" t="e">
        <f t="shared" ref="H157" si="62">G157/D157</f>
        <v>#DIV/0!</v>
      </c>
      <c r="I157" s="207"/>
      <c r="J157" s="294"/>
      <c r="K157" s="295"/>
    </row>
    <row r="158" spans="1:11" s="176" customFormat="1" x14ac:dyDescent="0.25">
      <c r="A158" s="169"/>
      <c r="B158" s="170"/>
      <c r="C158" s="185"/>
      <c r="D158" s="191"/>
      <c r="E158" s="191"/>
      <c r="F158" s="191"/>
      <c r="G158" s="191"/>
      <c r="H158" s="236"/>
      <c r="I158" s="207"/>
      <c r="J158" s="294"/>
      <c r="K158" s="295"/>
    </row>
    <row r="159" spans="1:11" s="176" customFormat="1" x14ac:dyDescent="0.25">
      <c r="A159" s="168" t="s">
        <v>74</v>
      </c>
      <c r="B159" s="189" t="s">
        <v>338</v>
      </c>
      <c r="C159" s="34" t="s">
        <v>339</v>
      </c>
      <c r="D159" s="191">
        <f>D160+D163</f>
        <v>32560678</v>
      </c>
      <c r="E159" s="191">
        <f>E160+E163</f>
        <v>149409674.84</v>
      </c>
      <c r="F159" s="191">
        <f t="shared" ref="F159:G159" si="63">F160+F163</f>
        <v>5535350</v>
      </c>
      <c r="G159" s="191">
        <f t="shared" si="63"/>
        <v>154945024.84</v>
      </c>
      <c r="H159" s="277">
        <f>G159/D159</f>
        <v>4.7586547442286058</v>
      </c>
      <c r="I159" s="207"/>
      <c r="J159" s="294"/>
      <c r="K159" s="295"/>
    </row>
    <row r="160" spans="1:11" s="176" customFormat="1" x14ac:dyDescent="0.25">
      <c r="A160" s="169"/>
      <c r="B160" s="189" t="s">
        <v>596</v>
      </c>
      <c r="C160" s="180" t="s">
        <v>598</v>
      </c>
      <c r="D160" s="191">
        <f>D161</f>
        <v>15000000</v>
      </c>
      <c r="E160" s="191">
        <f>E161</f>
        <v>53713794.840000004</v>
      </c>
      <c r="F160" s="191">
        <f t="shared" ref="F160:G160" si="64">F161</f>
        <v>3905350</v>
      </c>
      <c r="G160" s="191">
        <f t="shared" si="64"/>
        <v>57619144.840000004</v>
      </c>
      <c r="H160" s="277">
        <f>G160/D160</f>
        <v>3.8412763226666669</v>
      </c>
      <c r="I160" s="207"/>
      <c r="J160" s="294"/>
      <c r="K160" s="295"/>
    </row>
    <row r="161" spans="1:11" s="176" customFormat="1" x14ac:dyDescent="0.25">
      <c r="A161" s="169"/>
      <c r="B161" s="190" t="s">
        <v>597</v>
      </c>
      <c r="C161" s="33" t="s">
        <v>598</v>
      </c>
      <c r="D161" s="192">
        <v>15000000</v>
      </c>
      <c r="E161" s="192">
        <v>53713794.840000004</v>
      </c>
      <c r="F161" s="192">
        <v>3905350</v>
      </c>
      <c r="G161" s="181">
        <f>E161+F161</f>
        <v>57619144.840000004</v>
      </c>
      <c r="H161" s="278">
        <f>G161/D161</f>
        <v>3.8412763226666669</v>
      </c>
      <c r="I161" s="207"/>
      <c r="J161" s="294"/>
      <c r="K161" s="295"/>
    </row>
    <row r="162" spans="1:11" s="176" customFormat="1" x14ac:dyDescent="0.25">
      <c r="A162" s="169"/>
      <c r="B162" s="170"/>
      <c r="C162" s="180"/>
      <c r="D162" s="191"/>
      <c r="E162" s="191"/>
      <c r="F162" s="191"/>
      <c r="G162" s="191"/>
      <c r="H162" s="277"/>
      <c r="I162" s="207"/>
      <c r="J162" s="294"/>
      <c r="K162" s="295"/>
    </row>
    <row r="163" spans="1:11" s="176" customFormat="1" x14ac:dyDescent="0.25">
      <c r="A163" s="169"/>
      <c r="B163" s="189" t="s">
        <v>599</v>
      </c>
      <c r="C163" s="180" t="s">
        <v>601</v>
      </c>
      <c r="D163" s="191">
        <f>D164</f>
        <v>17560678</v>
      </c>
      <c r="E163" s="191">
        <f>E164</f>
        <v>95695880</v>
      </c>
      <c r="F163" s="191">
        <f t="shared" ref="F163:G163" si="65">F164</f>
        <v>1630000</v>
      </c>
      <c r="G163" s="191">
        <f t="shared" si="65"/>
        <v>97325880</v>
      </c>
      <c r="H163" s="277">
        <f>G163/D163</f>
        <v>5.5422620926139636</v>
      </c>
      <c r="I163" s="207"/>
      <c r="J163" s="294"/>
      <c r="K163" s="295"/>
    </row>
    <row r="164" spans="1:11" s="176" customFormat="1" x14ac:dyDescent="0.25">
      <c r="A164" s="169"/>
      <c r="B164" s="190" t="s">
        <v>600</v>
      </c>
      <c r="C164" s="33" t="s">
        <v>601</v>
      </c>
      <c r="D164" s="192">
        <v>17560678</v>
      </c>
      <c r="E164" s="192">
        <v>95695880</v>
      </c>
      <c r="F164" s="192">
        <v>1630000</v>
      </c>
      <c r="G164" s="181">
        <f>E164+F164</f>
        <v>97325880</v>
      </c>
      <c r="H164" s="278">
        <f>G164/D164</f>
        <v>5.5422620926139636</v>
      </c>
      <c r="I164" s="207"/>
      <c r="J164" s="294"/>
      <c r="K164" s="295"/>
    </row>
    <row r="165" spans="1:11" s="176" customFormat="1" x14ac:dyDescent="0.25">
      <c r="A165" s="169"/>
      <c r="B165" s="190"/>
      <c r="C165" s="33"/>
      <c r="D165" s="192"/>
      <c r="E165" s="192"/>
      <c r="F165" s="192"/>
      <c r="G165" s="192"/>
      <c r="H165" s="278"/>
      <c r="I165" s="207"/>
      <c r="J165" s="294"/>
      <c r="K165" s="295"/>
    </row>
    <row r="166" spans="1:11" s="176" customFormat="1" x14ac:dyDescent="0.25">
      <c r="A166" s="168" t="s">
        <v>81</v>
      </c>
      <c r="B166" s="22" t="s">
        <v>306</v>
      </c>
      <c r="C166" s="185" t="s">
        <v>75</v>
      </c>
      <c r="D166" s="196">
        <f>D167</f>
        <v>154665924841</v>
      </c>
      <c r="E166" s="196">
        <f t="shared" ref="E166:G166" si="66">E167</f>
        <v>163481020202</v>
      </c>
      <c r="F166" s="196">
        <f t="shared" si="66"/>
        <v>14772542533</v>
      </c>
      <c r="G166" s="196">
        <f t="shared" si="66"/>
        <v>178253562735</v>
      </c>
      <c r="H166" s="236">
        <f t="shared" ref="H166:H198" si="67">G166/D166</f>
        <v>1.1525070109544078</v>
      </c>
      <c r="I166" s="207" t="s">
        <v>112</v>
      </c>
      <c r="J166" s="294"/>
      <c r="K166" s="296"/>
    </row>
    <row r="167" spans="1:11" s="176" customFormat="1" x14ac:dyDescent="0.25">
      <c r="A167" s="168"/>
      <c r="B167" s="189" t="s">
        <v>340</v>
      </c>
      <c r="C167" s="185" t="s">
        <v>341</v>
      </c>
      <c r="D167" s="196">
        <f>D168</f>
        <v>154665924841</v>
      </c>
      <c r="E167" s="196">
        <f t="shared" ref="E167:G167" si="68">E168</f>
        <v>163481020202</v>
      </c>
      <c r="F167" s="196">
        <f t="shared" si="68"/>
        <v>14772542533</v>
      </c>
      <c r="G167" s="196">
        <f t="shared" si="68"/>
        <v>178253562735</v>
      </c>
      <c r="H167" s="236">
        <f t="shared" si="67"/>
        <v>1.1525070109544078</v>
      </c>
      <c r="I167" s="207"/>
      <c r="J167" s="294"/>
      <c r="K167" s="295"/>
    </row>
    <row r="168" spans="1:11" s="176" customFormat="1" x14ac:dyDescent="0.25">
      <c r="A168" s="188"/>
      <c r="B168" s="178"/>
      <c r="C168" s="185" t="s">
        <v>113</v>
      </c>
      <c r="D168" s="196">
        <f>D169+D176+D182+D185+D189+D192+D195+D198+D202</f>
        <v>154665924841</v>
      </c>
      <c r="E168" s="196">
        <f>E169+E176+E182+E185+E189+E192+E195+E198+E202</f>
        <v>163481020202</v>
      </c>
      <c r="F168" s="196">
        <f>F169+F176+F182+F185+F189+F192+F195+F198+F202</f>
        <v>14772542533</v>
      </c>
      <c r="G168" s="196">
        <f t="shared" ref="G168" si="69">G169+G176+G182+G185+G189+G192+G195+G198+G202</f>
        <v>178253562735</v>
      </c>
      <c r="H168" s="236">
        <f>G168/D168</f>
        <v>1.1525070109544078</v>
      </c>
      <c r="I168" s="207" t="s">
        <v>114</v>
      </c>
      <c r="J168" s="294"/>
      <c r="K168" s="295"/>
    </row>
    <row r="169" spans="1:11" s="176" customFormat="1" x14ac:dyDescent="0.25">
      <c r="A169" s="188"/>
      <c r="B169" s="178"/>
      <c r="C169" s="35" t="s">
        <v>115</v>
      </c>
      <c r="D169" s="191">
        <f>SUM(D170:D175)</f>
        <v>11999955000</v>
      </c>
      <c r="E169" s="191">
        <f t="shared" ref="E169:G169" si="70">SUM(E170:E175)</f>
        <v>9182818330</v>
      </c>
      <c r="F169" s="191">
        <f t="shared" si="70"/>
        <v>929046430</v>
      </c>
      <c r="G169" s="191">
        <f t="shared" si="70"/>
        <v>10111864760</v>
      </c>
      <c r="H169" s="236">
        <f t="shared" si="67"/>
        <v>0.84265855663625411</v>
      </c>
      <c r="I169" s="207"/>
      <c r="J169" s="294"/>
      <c r="K169" s="295"/>
    </row>
    <row r="170" spans="1:11" s="176" customFormat="1" x14ac:dyDescent="0.25">
      <c r="A170" s="188"/>
      <c r="B170" s="178"/>
      <c r="C170" s="171" t="s">
        <v>116</v>
      </c>
      <c r="D170" s="192">
        <v>945785000</v>
      </c>
      <c r="E170" s="192">
        <v>810042729</v>
      </c>
      <c r="F170" s="192">
        <v>63522114</v>
      </c>
      <c r="G170" s="192">
        <f>E170+F170</f>
        <v>873564843</v>
      </c>
      <c r="H170" s="24">
        <f t="shared" si="67"/>
        <v>0.92363998477455234</v>
      </c>
      <c r="I170" s="207"/>
      <c r="J170" s="294"/>
      <c r="K170" s="295"/>
    </row>
    <row r="171" spans="1:11" s="176" customFormat="1" x14ac:dyDescent="0.25">
      <c r="A171" s="188"/>
      <c r="B171" s="178"/>
      <c r="C171" s="171" t="s">
        <v>117</v>
      </c>
      <c r="D171" s="192">
        <v>1858720000</v>
      </c>
      <c r="E171" s="192">
        <v>1344338088</v>
      </c>
      <c r="F171" s="192">
        <v>109550980</v>
      </c>
      <c r="G171" s="192">
        <f t="shared" ref="G171:G204" si="71">E171+F171</f>
        <v>1453889068</v>
      </c>
      <c r="H171" s="24">
        <f t="shared" si="67"/>
        <v>0.78219907678402345</v>
      </c>
      <c r="I171" s="207"/>
      <c r="J171" s="294"/>
      <c r="K171" s="295"/>
    </row>
    <row r="172" spans="1:11" s="176" customFormat="1" x14ac:dyDescent="0.25">
      <c r="A172" s="188"/>
      <c r="B172" s="178"/>
      <c r="C172" s="171" t="s">
        <v>118</v>
      </c>
      <c r="D172" s="192">
        <v>5641950000</v>
      </c>
      <c r="E172" s="192">
        <v>3859397032</v>
      </c>
      <c r="F172" s="192">
        <v>435932201</v>
      </c>
      <c r="G172" s="192">
        <f t="shared" si="71"/>
        <v>4295329233</v>
      </c>
      <c r="H172" s="24">
        <f t="shared" si="67"/>
        <v>0.76131997500864068</v>
      </c>
      <c r="I172" s="207"/>
      <c r="J172" s="294"/>
      <c r="K172" s="295"/>
    </row>
    <row r="173" spans="1:11" s="176" customFormat="1" x14ac:dyDescent="0.25">
      <c r="A173" s="188"/>
      <c r="B173" s="178"/>
      <c r="C173" s="171" t="s">
        <v>119</v>
      </c>
      <c r="D173" s="192">
        <v>1970100000</v>
      </c>
      <c r="E173" s="192">
        <v>1576453128</v>
      </c>
      <c r="F173" s="192">
        <v>175021805</v>
      </c>
      <c r="G173" s="192">
        <f t="shared" si="71"/>
        <v>1751474933</v>
      </c>
      <c r="H173" s="24">
        <f t="shared" si="67"/>
        <v>0.88902844170346684</v>
      </c>
      <c r="I173" s="207"/>
      <c r="J173" s="294"/>
      <c r="K173" s="295"/>
    </row>
    <row r="174" spans="1:11" s="176" customFormat="1" x14ac:dyDescent="0.25">
      <c r="A174" s="188"/>
      <c r="B174" s="178"/>
      <c r="C174" s="171" t="s">
        <v>120</v>
      </c>
      <c r="D174" s="192">
        <v>70400000</v>
      </c>
      <c r="E174" s="192">
        <v>33165600</v>
      </c>
      <c r="F174" s="192">
        <v>650000</v>
      </c>
      <c r="G174" s="192">
        <f t="shared" si="71"/>
        <v>33815600</v>
      </c>
      <c r="H174" s="24">
        <f t="shared" si="67"/>
        <v>0.48033522727272726</v>
      </c>
      <c r="I174" s="207"/>
      <c r="J174" s="294"/>
      <c r="K174" s="295"/>
    </row>
    <row r="175" spans="1:11" s="176" customFormat="1" x14ac:dyDescent="0.25">
      <c r="A175" s="188"/>
      <c r="B175" s="178"/>
      <c r="C175" s="171" t="s">
        <v>121</v>
      </c>
      <c r="D175" s="192">
        <v>1513000000</v>
      </c>
      <c r="E175" s="192">
        <v>1559421753</v>
      </c>
      <c r="F175" s="192">
        <v>144369330</v>
      </c>
      <c r="G175" s="192">
        <f t="shared" si="71"/>
        <v>1703791083</v>
      </c>
      <c r="H175" s="24">
        <f t="shared" si="67"/>
        <v>1.1261011784534039</v>
      </c>
      <c r="I175" s="207"/>
      <c r="J175" s="294"/>
      <c r="K175" s="295"/>
    </row>
    <row r="176" spans="1:11" s="176" customFormat="1" x14ac:dyDescent="0.25">
      <c r="A176" s="188"/>
      <c r="B176" s="178"/>
      <c r="C176" s="185" t="s">
        <v>122</v>
      </c>
      <c r="D176" s="191">
        <f>SUM(D177:D181)</f>
        <v>64267216000</v>
      </c>
      <c r="E176" s="191">
        <f t="shared" ref="E176:F176" si="72">SUM(E177:E181)</f>
        <v>70343616129</v>
      </c>
      <c r="F176" s="191">
        <f t="shared" si="72"/>
        <v>8841406783</v>
      </c>
      <c r="G176" s="191">
        <f t="shared" si="71"/>
        <v>79185022912</v>
      </c>
      <c r="H176" s="236">
        <f t="shared" si="67"/>
        <v>1.2321215674256063</v>
      </c>
      <c r="I176" s="207"/>
      <c r="J176" s="294"/>
      <c r="K176" s="295"/>
    </row>
    <row r="177" spans="1:11" s="176" customFormat="1" x14ac:dyDescent="0.25">
      <c r="A177" s="188"/>
      <c r="B177" s="178"/>
      <c r="C177" s="171" t="s">
        <v>117</v>
      </c>
      <c r="D177" s="192">
        <v>20349000000</v>
      </c>
      <c r="E177" s="192">
        <v>21404734300</v>
      </c>
      <c r="F177" s="192">
        <v>2403682000</v>
      </c>
      <c r="G177" s="192">
        <f t="shared" si="71"/>
        <v>23808416300</v>
      </c>
      <c r="H177" s="24">
        <f t="shared" si="67"/>
        <v>1.1700042409946434</v>
      </c>
      <c r="I177" s="207"/>
      <c r="J177" s="294"/>
      <c r="K177" s="295"/>
    </row>
    <row r="178" spans="1:11" s="176" customFormat="1" x14ac:dyDescent="0.25">
      <c r="A178" s="188"/>
      <c r="B178" s="178"/>
      <c r="C178" s="171" t="s">
        <v>118</v>
      </c>
      <c r="D178" s="192">
        <v>41013056000</v>
      </c>
      <c r="E178" s="192">
        <v>46068174665</v>
      </c>
      <c r="F178" s="192">
        <v>5929781700</v>
      </c>
      <c r="G178" s="192">
        <f t="shared" si="71"/>
        <v>51997956365</v>
      </c>
      <c r="H178" s="24">
        <f t="shared" si="67"/>
        <v>1.2678391087218666</v>
      </c>
      <c r="I178" s="207"/>
      <c r="J178" s="294"/>
      <c r="K178" s="295"/>
    </row>
    <row r="179" spans="1:11" s="176" customFormat="1" x14ac:dyDescent="0.25">
      <c r="A179" s="188"/>
      <c r="B179" s="178"/>
      <c r="C179" s="171" t="s">
        <v>123</v>
      </c>
      <c r="D179" s="192">
        <v>287520000</v>
      </c>
      <c r="E179" s="192">
        <v>308250000</v>
      </c>
      <c r="F179" s="192">
        <v>22500000</v>
      </c>
      <c r="G179" s="192">
        <f t="shared" si="71"/>
        <v>330750000</v>
      </c>
      <c r="H179" s="24">
        <f t="shared" si="67"/>
        <v>1.1503547579298832</v>
      </c>
      <c r="I179" s="207"/>
      <c r="J179" s="294"/>
      <c r="K179" s="295"/>
    </row>
    <row r="180" spans="1:11" s="176" customFormat="1" x14ac:dyDescent="0.25">
      <c r="A180" s="188"/>
      <c r="B180" s="178"/>
      <c r="C180" s="171" t="s">
        <v>124</v>
      </c>
      <c r="D180" s="192">
        <v>2461640000</v>
      </c>
      <c r="E180" s="192">
        <v>2365179564</v>
      </c>
      <c r="F180" s="192">
        <v>485443083</v>
      </c>
      <c r="G180" s="192">
        <f t="shared" si="71"/>
        <v>2850622647</v>
      </c>
      <c r="H180" s="24">
        <f t="shared" si="67"/>
        <v>1.1580176821143628</v>
      </c>
      <c r="I180" s="207"/>
      <c r="J180" s="294"/>
      <c r="K180" s="295"/>
    </row>
    <row r="181" spans="1:11" s="176" customFormat="1" x14ac:dyDescent="0.25">
      <c r="A181" s="188"/>
      <c r="B181" s="178"/>
      <c r="C181" s="171" t="s">
        <v>120</v>
      </c>
      <c r="D181" s="192">
        <v>156000000</v>
      </c>
      <c r="E181" s="192">
        <v>197277600</v>
      </c>
      <c r="F181" s="192">
        <v>0</v>
      </c>
      <c r="G181" s="192">
        <f t="shared" si="71"/>
        <v>197277600</v>
      </c>
      <c r="H181" s="24">
        <f t="shared" si="67"/>
        <v>1.2645999999999999</v>
      </c>
      <c r="I181" s="207"/>
      <c r="J181" s="294"/>
      <c r="K181" s="295"/>
    </row>
    <row r="182" spans="1:11" s="176" customFormat="1" x14ac:dyDescent="0.25">
      <c r="A182" s="188"/>
      <c r="B182" s="178"/>
      <c r="C182" s="185" t="s">
        <v>125</v>
      </c>
      <c r="D182" s="191">
        <f>SUM(D183:D184)</f>
        <v>62996250000</v>
      </c>
      <c r="E182" s="191">
        <f t="shared" ref="E182:F182" si="73">SUM(E183:E184)</f>
        <v>65676437050</v>
      </c>
      <c r="F182" s="191">
        <f t="shared" si="73"/>
        <v>533833200</v>
      </c>
      <c r="G182" s="191">
        <f t="shared" si="71"/>
        <v>66210270250</v>
      </c>
      <c r="H182" s="236">
        <f t="shared" si="67"/>
        <v>1.0510192313034505</v>
      </c>
      <c r="I182" s="207"/>
      <c r="J182" s="294"/>
      <c r="K182" s="295"/>
    </row>
    <row r="183" spans="1:11" s="176" customFormat="1" x14ac:dyDescent="0.25">
      <c r="A183" s="188"/>
      <c r="B183" s="178"/>
      <c r="C183" s="171" t="s">
        <v>117</v>
      </c>
      <c r="D183" s="192">
        <v>96250000</v>
      </c>
      <c r="E183" s="192">
        <v>89200600</v>
      </c>
      <c r="F183" s="192">
        <v>0</v>
      </c>
      <c r="G183" s="192">
        <f t="shared" si="71"/>
        <v>89200600</v>
      </c>
      <c r="H183" s="24">
        <f t="shared" si="67"/>
        <v>0.92675948051948054</v>
      </c>
      <c r="I183" s="207"/>
      <c r="J183" s="294"/>
      <c r="K183" s="295"/>
    </row>
    <row r="184" spans="1:11" s="176" customFormat="1" x14ac:dyDescent="0.25">
      <c r="A184" s="188"/>
      <c r="B184" s="178"/>
      <c r="C184" s="171" t="s">
        <v>118</v>
      </c>
      <c r="D184" s="192">
        <v>62900000000</v>
      </c>
      <c r="E184" s="192">
        <v>65587236450</v>
      </c>
      <c r="F184" s="192">
        <v>533833200</v>
      </c>
      <c r="G184" s="192">
        <f t="shared" si="71"/>
        <v>66121069650</v>
      </c>
      <c r="H184" s="24">
        <f t="shared" si="67"/>
        <v>1.0512093744038156</v>
      </c>
      <c r="I184" s="207"/>
      <c r="J184" s="294"/>
      <c r="K184" s="295"/>
    </row>
    <row r="185" spans="1:11" s="176" customFormat="1" x14ac:dyDescent="0.25">
      <c r="A185" s="188"/>
      <c r="B185" s="178"/>
      <c r="C185" s="185" t="s">
        <v>126</v>
      </c>
      <c r="D185" s="191">
        <f>SUM(D186:D188)</f>
        <v>3270668000</v>
      </c>
      <c r="E185" s="191">
        <f t="shared" ref="E185:F185" si="74">SUM(E186:E188)</f>
        <v>4267831474</v>
      </c>
      <c r="F185" s="191">
        <f t="shared" si="74"/>
        <v>522927514</v>
      </c>
      <c r="G185" s="191">
        <f t="shared" si="71"/>
        <v>4790758988</v>
      </c>
      <c r="H185" s="236">
        <f t="shared" si="67"/>
        <v>1.4647646866022477</v>
      </c>
      <c r="I185" s="207"/>
      <c r="J185" s="294"/>
      <c r="K185" s="295"/>
    </row>
    <row r="186" spans="1:11" s="176" customFormat="1" x14ac:dyDescent="0.25">
      <c r="A186" s="188"/>
      <c r="B186" s="178"/>
      <c r="C186" s="171" t="s">
        <v>117</v>
      </c>
      <c r="D186" s="192">
        <v>583188000</v>
      </c>
      <c r="E186" s="192">
        <v>572008283</v>
      </c>
      <c r="F186" s="192">
        <v>106536738</v>
      </c>
      <c r="G186" s="192">
        <f t="shared" si="71"/>
        <v>678545021</v>
      </c>
      <c r="H186" s="24">
        <f t="shared" si="67"/>
        <v>1.1635099161848323</v>
      </c>
      <c r="I186" s="207" t="s">
        <v>127</v>
      </c>
      <c r="J186" s="294"/>
      <c r="K186" s="295"/>
    </row>
    <row r="187" spans="1:11" s="176" customFormat="1" x14ac:dyDescent="0.25">
      <c r="A187" s="188"/>
      <c r="B187" s="178"/>
      <c r="C187" s="171" t="s">
        <v>118</v>
      </c>
      <c r="D187" s="192">
        <v>2192520000</v>
      </c>
      <c r="E187" s="192">
        <v>2984364750</v>
      </c>
      <c r="F187" s="192">
        <v>348293603</v>
      </c>
      <c r="G187" s="192">
        <f t="shared" si="71"/>
        <v>3332658353</v>
      </c>
      <c r="H187" s="24">
        <f t="shared" si="67"/>
        <v>1.5200127492565632</v>
      </c>
      <c r="I187" s="207"/>
      <c r="J187" s="294"/>
      <c r="K187" s="295"/>
    </row>
    <row r="188" spans="1:11" s="176" customFormat="1" x14ac:dyDescent="0.25">
      <c r="A188" s="188"/>
      <c r="B188" s="178"/>
      <c r="C188" s="171" t="s">
        <v>128</v>
      </c>
      <c r="D188" s="192">
        <v>494960000</v>
      </c>
      <c r="E188" s="192">
        <v>711458441</v>
      </c>
      <c r="F188" s="192">
        <v>68097173</v>
      </c>
      <c r="G188" s="192">
        <f t="shared" si="71"/>
        <v>779555614</v>
      </c>
      <c r="H188" s="24">
        <f t="shared" si="67"/>
        <v>1.5749870979473088</v>
      </c>
      <c r="I188" s="207"/>
      <c r="J188" s="294"/>
      <c r="K188" s="295"/>
    </row>
    <row r="189" spans="1:11" s="176" customFormat="1" x14ac:dyDescent="0.25">
      <c r="A189" s="169"/>
      <c r="B189" s="178"/>
      <c r="C189" s="185" t="s">
        <v>129</v>
      </c>
      <c r="D189" s="191">
        <f>SUM(D190:D191)</f>
        <v>2397579000</v>
      </c>
      <c r="E189" s="191">
        <f t="shared" ref="E189:F189" si="75">SUM(E190:E191)</f>
        <v>3040670632</v>
      </c>
      <c r="F189" s="191">
        <f t="shared" si="75"/>
        <v>3481961696</v>
      </c>
      <c r="G189" s="191">
        <f t="shared" si="71"/>
        <v>6522632328</v>
      </c>
      <c r="H189" s="236">
        <f t="shared" si="67"/>
        <v>2.7205077822253196</v>
      </c>
      <c r="I189" s="207"/>
      <c r="J189" s="294"/>
      <c r="K189" s="295"/>
    </row>
    <row r="190" spans="1:11" s="176" customFormat="1" x14ac:dyDescent="0.25">
      <c r="A190" s="188"/>
      <c r="B190" s="178"/>
      <c r="C190" s="171" t="s">
        <v>117</v>
      </c>
      <c r="D190" s="192">
        <v>57579000</v>
      </c>
      <c r="E190" s="192">
        <v>264084458</v>
      </c>
      <c r="F190" s="192">
        <v>341303487</v>
      </c>
      <c r="G190" s="192">
        <f t="shared" si="71"/>
        <v>605387945</v>
      </c>
      <c r="H190" s="24">
        <f t="shared" si="67"/>
        <v>10.514040622449157</v>
      </c>
      <c r="I190" s="207"/>
      <c r="J190" s="294"/>
      <c r="K190" s="295"/>
    </row>
    <row r="191" spans="1:11" s="176" customFormat="1" x14ac:dyDescent="0.25">
      <c r="A191" s="188"/>
      <c r="B191" s="178"/>
      <c r="C191" s="171" t="s">
        <v>118</v>
      </c>
      <c r="D191" s="192">
        <v>2340000000</v>
      </c>
      <c r="E191" s="192">
        <v>2776586174</v>
      </c>
      <c r="F191" s="192">
        <v>3140658209</v>
      </c>
      <c r="G191" s="192">
        <f t="shared" si="71"/>
        <v>5917244383</v>
      </c>
      <c r="H191" s="24">
        <f t="shared" si="67"/>
        <v>2.5287369158119657</v>
      </c>
      <c r="I191" s="207"/>
      <c r="J191" s="294"/>
      <c r="K191" s="295"/>
    </row>
    <row r="192" spans="1:11" s="176" customFormat="1" x14ac:dyDescent="0.25">
      <c r="A192" s="188"/>
      <c r="B192" s="178"/>
      <c r="C192" s="185" t="s">
        <v>729</v>
      </c>
      <c r="D192" s="191">
        <v>8983719000</v>
      </c>
      <c r="E192" s="191">
        <f>'Realisasi Nov'!G192</f>
        <v>8983719000</v>
      </c>
      <c r="F192" s="191">
        <f t="shared" ref="F192" si="76">SUM(F193:F194)</f>
        <v>0</v>
      </c>
      <c r="G192" s="191">
        <f t="shared" si="71"/>
        <v>8983719000</v>
      </c>
      <c r="H192" s="236">
        <f t="shared" si="67"/>
        <v>1</v>
      </c>
      <c r="I192" s="207"/>
      <c r="J192" s="294"/>
      <c r="K192" s="295"/>
    </row>
    <row r="193" spans="1:12" s="176" customFormat="1" x14ac:dyDescent="0.25">
      <c r="A193" s="188"/>
      <c r="B193" s="178"/>
      <c r="C193" s="171"/>
      <c r="D193" s="192">
        <v>0</v>
      </c>
      <c r="E193" s="192">
        <f>'Realisasi Nov'!G193</f>
        <v>0</v>
      </c>
      <c r="F193" s="192"/>
      <c r="G193" s="192">
        <f t="shared" si="71"/>
        <v>0</v>
      </c>
      <c r="H193" s="252" t="e">
        <f t="shared" si="67"/>
        <v>#DIV/0!</v>
      </c>
      <c r="I193" s="207"/>
      <c r="J193" s="294"/>
      <c r="K193" s="295"/>
    </row>
    <row r="194" spans="1:12" s="176" customFormat="1" hidden="1" x14ac:dyDescent="0.25">
      <c r="A194" s="188"/>
      <c r="B194" s="178"/>
      <c r="C194" s="171"/>
      <c r="D194" s="192">
        <v>0</v>
      </c>
      <c r="E194" s="192">
        <f>'Realisasi Nov'!G194</f>
        <v>0</v>
      </c>
      <c r="F194" s="192"/>
      <c r="G194" s="192">
        <f t="shared" si="71"/>
        <v>0</v>
      </c>
      <c r="H194" s="24" t="e">
        <f t="shared" si="67"/>
        <v>#DIV/0!</v>
      </c>
      <c r="I194" s="207"/>
      <c r="J194" s="294"/>
      <c r="K194" s="295"/>
    </row>
    <row r="195" spans="1:12" s="176" customFormat="1" x14ac:dyDescent="0.25">
      <c r="A195" s="188"/>
      <c r="B195" s="178"/>
      <c r="C195" s="185" t="s">
        <v>131</v>
      </c>
      <c r="D195" s="191">
        <f>SUM(D196:D197)</f>
        <v>90525000</v>
      </c>
      <c r="E195" s="191">
        <f t="shared" ref="E195:F195" si="77">SUM(E196:E197)</f>
        <v>925282979</v>
      </c>
      <c r="F195" s="191">
        <f t="shared" si="77"/>
        <v>416641291</v>
      </c>
      <c r="G195" s="191">
        <f t="shared" si="71"/>
        <v>1341924270</v>
      </c>
      <c r="H195" s="236">
        <f t="shared" si="67"/>
        <v>14.823797514498757</v>
      </c>
      <c r="I195" s="207"/>
      <c r="J195" s="294"/>
      <c r="K195" s="295"/>
    </row>
    <row r="196" spans="1:12" s="176" customFormat="1" x14ac:dyDescent="0.25">
      <c r="A196" s="188"/>
      <c r="B196" s="178"/>
      <c r="C196" s="171" t="s">
        <v>117</v>
      </c>
      <c r="D196" s="192">
        <v>525000</v>
      </c>
      <c r="E196" s="192">
        <f>'Realisasi Nov'!G196</f>
        <v>24250899</v>
      </c>
      <c r="F196" s="192">
        <v>26696945</v>
      </c>
      <c r="G196" s="192">
        <f t="shared" si="71"/>
        <v>50947844</v>
      </c>
      <c r="H196" s="24">
        <f t="shared" si="67"/>
        <v>97.043512380952379</v>
      </c>
      <c r="I196" s="207"/>
      <c r="J196" s="294"/>
      <c r="K196" s="295"/>
    </row>
    <row r="197" spans="1:12" s="176" customFormat="1" x14ac:dyDescent="0.25">
      <c r="A197" s="188"/>
      <c r="B197" s="178"/>
      <c r="C197" s="171" t="s">
        <v>118</v>
      </c>
      <c r="D197" s="192">
        <v>90000000</v>
      </c>
      <c r="E197" s="192">
        <f>'Realisasi Nov'!G197</f>
        <v>901032080</v>
      </c>
      <c r="F197" s="192">
        <v>389944346</v>
      </c>
      <c r="G197" s="192">
        <f t="shared" si="71"/>
        <v>1290976426</v>
      </c>
      <c r="H197" s="24">
        <f t="shared" si="67"/>
        <v>14.344182511111111</v>
      </c>
      <c r="I197" s="207"/>
      <c r="J197" s="294"/>
      <c r="K197" s="295"/>
    </row>
    <row r="198" spans="1:12" s="176" customFormat="1" x14ac:dyDescent="0.25">
      <c r="A198" s="188"/>
      <c r="B198" s="178"/>
      <c r="C198" s="185" t="s">
        <v>132</v>
      </c>
      <c r="D198" s="191">
        <f>SUM(D199:D201)</f>
        <v>510012841</v>
      </c>
      <c r="E198" s="191">
        <f t="shared" ref="E198:F198" si="78">SUM(E199:E201)</f>
        <v>788545000</v>
      </c>
      <c r="F198" s="191">
        <f t="shared" si="78"/>
        <v>26040000</v>
      </c>
      <c r="G198" s="191">
        <f t="shared" si="71"/>
        <v>814585000</v>
      </c>
      <c r="H198" s="236">
        <f t="shared" si="67"/>
        <v>1.5971852755762281</v>
      </c>
      <c r="I198" s="207"/>
      <c r="J198" s="294"/>
      <c r="K198" s="295"/>
    </row>
    <row r="199" spans="1:12" s="176" customFormat="1" x14ac:dyDescent="0.25">
      <c r="A199" s="188"/>
      <c r="B199" s="178"/>
      <c r="C199" s="171" t="s">
        <v>133</v>
      </c>
      <c r="D199" s="192"/>
      <c r="E199" s="192">
        <f>'Realisasi Nov'!G199</f>
        <v>0</v>
      </c>
      <c r="F199" s="192"/>
      <c r="G199" s="192">
        <f t="shared" si="71"/>
        <v>0</v>
      </c>
      <c r="H199" s="24"/>
      <c r="I199" s="207"/>
      <c r="J199" s="294"/>
      <c r="K199" s="295"/>
    </row>
    <row r="200" spans="1:12" s="176" customFormat="1" x14ac:dyDescent="0.25">
      <c r="A200" s="188"/>
      <c r="B200" s="178"/>
      <c r="C200" s="171" t="s">
        <v>722</v>
      </c>
      <c r="D200" s="192">
        <v>80012841</v>
      </c>
      <c r="E200" s="192">
        <f>'Realisasi Nov'!G200</f>
        <v>103900000</v>
      </c>
      <c r="F200" s="192">
        <v>19400000</v>
      </c>
      <c r="G200" s="192">
        <f t="shared" si="71"/>
        <v>123300000</v>
      </c>
      <c r="H200" s="24">
        <f>G200/D200</f>
        <v>1.5410026498121721</v>
      </c>
      <c r="I200" s="207" t="s">
        <v>135</v>
      </c>
      <c r="J200" s="294"/>
      <c r="K200" s="295"/>
    </row>
    <row r="201" spans="1:12" s="176" customFormat="1" x14ac:dyDescent="0.25">
      <c r="A201" s="188"/>
      <c r="B201" s="178"/>
      <c r="C201" s="171" t="s">
        <v>136</v>
      </c>
      <c r="D201" s="192">
        <v>430000000</v>
      </c>
      <c r="E201" s="192">
        <f>'Realisasi Nov'!G201</f>
        <v>684645000</v>
      </c>
      <c r="F201" s="192">
        <v>6640000</v>
      </c>
      <c r="G201" s="192">
        <f t="shared" si="71"/>
        <v>691285000</v>
      </c>
      <c r="H201" s="24">
        <f>G201/D201</f>
        <v>1.6076395348837209</v>
      </c>
      <c r="I201" s="207"/>
      <c r="J201" s="294"/>
      <c r="K201" s="295"/>
    </row>
    <row r="202" spans="1:12" s="176" customFormat="1" x14ac:dyDescent="0.25">
      <c r="A202" s="188"/>
      <c r="B202" s="178"/>
      <c r="C202" s="185" t="s">
        <v>137</v>
      </c>
      <c r="D202" s="191">
        <f>SUM(D203:D204)</f>
        <v>150000000</v>
      </c>
      <c r="E202" s="191">
        <f t="shared" ref="E202:F202" si="79">SUM(E203:E204)</f>
        <v>272099608</v>
      </c>
      <c r="F202" s="191">
        <f t="shared" si="79"/>
        <v>20685619</v>
      </c>
      <c r="G202" s="191">
        <f t="shared" si="71"/>
        <v>292785227</v>
      </c>
      <c r="H202" s="236">
        <f>G202/D202</f>
        <v>1.9519015133333333</v>
      </c>
      <c r="I202" s="207"/>
      <c r="J202" s="294"/>
      <c r="K202" s="295"/>
    </row>
    <row r="203" spans="1:12" s="176" customFormat="1" x14ac:dyDescent="0.25">
      <c r="A203" s="188"/>
      <c r="B203" s="178"/>
      <c r="C203" s="171" t="s">
        <v>138</v>
      </c>
      <c r="D203" s="192">
        <v>150000000</v>
      </c>
      <c r="E203" s="192">
        <f>'Realisasi Nov'!G203</f>
        <v>272099608</v>
      </c>
      <c r="F203" s="192">
        <v>20685619</v>
      </c>
      <c r="G203" s="192">
        <f t="shared" si="71"/>
        <v>292785227</v>
      </c>
      <c r="H203" s="24">
        <f>G203/D203</f>
        <v>1.9519015133333333</v>
      </c>
      <c r="I203" s="207" t="s">
        <v>139</v>
      </c>
      <c r="J203" s="294"/>
      <c r="K203" s="295"/>
    </row>
    <row r="204" spans="1:12" s="176" customFormat="1" x14ac:dyDescent="0.25">
      <c r="A204" s="188"/>
      <c r="B204" s="178"/>
      <c r="C204" s="171" t="s">
        <v>140</v>
      </c>
      <c r="D204" s="192">
        <v>0</v>
      </c>
      <c r="E204" s="192">
        <f>'Realisasi Nov'!G204</f>
        <v>0</v>
      </c>
      <c r="F204" s="192"/>
      <c r="G204" s="192">
        <f t="shared" si="71"/>
        <v>0</v>
      </c>
      <c r="H204" s="252" t="e">
        <f>G204/D204</f>
        <v>#DIV/0!</v>
      </c>
      <c r="I204" s="207"/>
      <c r="J204" s="294"/>
      <c r="K204" s="295"/>
    </row>
    <row r="205" spans="1:12" s="176" customFormat="1" x14ac:dyDescent="0.25">
      <c r="A205" s="188"/>
      <c r="B205" s="178"/>
      <c r="C205" s="171"/>
      <c r="D205" s="192"/>
      <c r="E205" s="192">
        <f>'Realisasi Sept'!G205</f>
        <v>0</v>
      </c>
      <c r="F205" s="192"/>
      <c r="G205" s="191"/>
      <c r="H205" s="236"/>
      <c r="I205" s="207"/>
      <c r="J205" s="294"/>
      <c r="K205" s="295"/>
    </row>
    <row r="206" spans="1:12" s="176" customFormat="1" x14ac:dyDescent="0.25">
      <c r="A206" s="168" t="s">
        <v>452</v>
      </c>
      <c r="B206" s="22" t="s">
        <v>306</v>
      </c>
      <c r="C206" s="185" t="s">
        <v>75</v>
      </c>
      <c r="D206" s="191">
        <f>SUM(D207)</f>
        <v>14221114110</v>
      </c>
      <c r="E206" s="191">
        <f t="shared" ref="E206:G206" si="80">SUM(E207)</f>
        <v>12750643588.690001</v>
      </c>
      <c r="F206" s="191">
        <f t="shared" si="80"/>
        <v>1356675249.45</v>
      </c>
      <c r="G206" s="191">
        <f t="shared" si="80"/>
        <v>14107318838.139999</v>
      </c>
      <c r="H206" s="236">
        <f t="shared" ref="H206:H218" si="81">G206/D206</f>
        <v>0.991998146489804</v>
      </c>
      <c r="I206" s="207" t="s">
        <v>141</v>
      </c>
      <c r="J206" s="294"/>
      <c r="K206" s="295"/>
    </row>
    <row r="207" spans="1:12" s="176" customFormat="1" x14ac:dyDescent="0.25">
      <c r="A207" s="188"/>
      <c r="B207" s="189" t="s">
        <v>340</v>
      </c>
      <c r="C207" s="185" t="s">
        <v>341</v>
      </c>
      <c r="D207" s="191">
        <f>D208</f>
        <v>14221114110</v>
      </c>
      <c r="E207" s="191">
        <f t="shared" ref="E207:G207" si="82">E208</f>
        <v>12750643588.690001</v>
      </c>
      <c r="F207" s="191">
        <f t="shared" si="82"/>
        <v>1356675249.45</v>
      </c>
      <c r="G207" s="191">
        <f t="shared" si="82"/>
        <v>14107318838.139999</v>
      </c>
      <c r="H207" s="236">
        <f t="shared" si="81"/>
        <v>0.991998146489804</v>
      </c>
      <c r="I207" s="207" t="s">
        <v>143</v>
      </c>
      <c r="J207" s="294"/>
      <c r="K207" s="295"/>
      <c r="L207" s="295"/>
    </row>
    <row r="208" spans="1:12" s="176" customFormat="1" x14ac:dyDescent="0.25">
      <c r="A208" s="188"/>
      <c r="B208" s="178"/>
      <c r="C208" s="172" t="s">
        <v>142</v>
      </c>
      <c r="D208" s="191">
        <f>SUM(D209:D218)</f>
        <v>14221114110</v>
      </c>
      <c r="E208" s="191">
        <f>SUM(E209:E218)</f>
        <v>12750643588.690001</v>
      </c>
      <c r="F208" s="191">
        <f t="shared" ref="F208:G208" si="83">SUM(F209:F218)</f>
        <v>1356675249.45</v>
      </c>
      <c r="G208" s="191">
        <f t="shared" si="83"/>
        <v>14107318838.139999</v>
      </c>
      <c r="H208" s="236">
        <f t="shared" si="81"/>
        <v>0.991998146489804</v>
      </c>
      <c r="I208" s="207"/>
      <c r="J208" s="294"/>
      <c r="K208" s="295"/>
      <c r="L208" s="295"/>
    </row>
    <row r="209" spans="1:13" s="176" customFormat="1" x14ac:dyDescent="0.25">
      <c r="A209" s="188"/>
      <c r="B209" s="178"/>
      <c r="C209" s="171" t="s">
        <v>144</v>
      </c>
      <c r="D209" s="192">
        <v>1799030500</v>
      </c>
      <c r="E209" s="192">
        <f>'Realisasi Nov'!G209</f>
        <v>1504842823.7899997</v>
      </c>
      <c r="F209" s="192">
        <v>167963188.84999999</v>
      </c>
      <c r="G209" s="192">
        <f>E209+F209</f>
        <v>1672806012.6399996</v>
      </c>
      <c r="H209" s="24">
        <f t="shared" si="81"/>
        <v>0.92983749449495134</v>
      </c>
      <c r="I209" s="207" t="s">
        <v>145</v>
      </c>
      <c r="J209" s="294"/>
      <c r="K209" s="296"/>
      <c r="L209" s="295"/>
    </row>
    <row r="210" spans="1:13" s="176" customFormat="1" x14ac:dyDescent="0.25">
      <c r="A210" s="188"/>
      <c r="B210" s="178"/>
      <c r="C210" s="171" t="s">
        <v>146</v>
      </c>
      <c r="D210" s="192">
        <v>1055000000</v>
      </c>
      <c r="E210" s="192">
        <f>'Realisasi Nov'!G210</f>
        <v>969518535.12999988</v>
      </c>
      <c r="F210" s="192">
        <v>123907355.3</v>
      </c>
      <c r="G210" s="192">
        <f t="shared" ref="G210:G218" si="84">E210+F210</f>
        <v>1093425890.4299998</v>
      </c>
      <c r="H210" s="24">
        <f t="shared" si="81"/>
        <v>1.0364226449573457</v>
      </c>
      <c r="I210" s="207"/>
      <c r="J210" s="294"/>
      <c r="K210" s="296"/>
      <c r="L210" s="282"/>
      <c r="M210" s="282"/>
    </row>
    <row r="211" spans="1:13" s="176" customFormat="1" x14ac:dyDescent="0.25">
      <c r="A211" s="188"/>
      <c r="B211" s="178"/>
      <c r="C211" s="171" t="s">
        <v>147</v>
      </c>
      <c r="D211" s="192">
        <v>1300000000</v>
      </c>
      <c r="E211" s="192">
        <f>'Realisasi Nov'!G211</f>
        <v>1192398513.55</v>
      </c>
      <c r="F211" s="192">
        <v>136965741.05000001</v>
      </c>
      <c r="G211" s="192">
        <f t="shared" si="84"/>
        <v>1329364254.5999999</v>
      </c>
      <c r="H211" s="24">
        <f t="shared" si="81"/>
        <v>1.0225878881538462</v>
      </c>
      <c r="I211" s="207" t="s">
        <v>148</v>
      </c>
      <c r="J211" s="294"/>
      <c r="K211" s="296"/>
      <c r="L211" s="282"/>
      <c r="M211" s="282"/>
    </row>
    <row r="212" spans="1:13" s="176" customFormat="1" x14ac:dyDescent="0.25">
      <c r="A212" s="188"/>
      <c r="B212" s="178"/>
      <c r="C212" s="171" t="s">
        <v>149</v>
      </c>
      <c r="D212" s="192">
        <v>2298598960</v>
      </c>
      <c r="E212" s="192">
        <f>'Realisasi Nov'!G212</f>
        <v>2082559320.6700003</v>
      </c>
      <c r="F212" s="192">
        <v>224059849.78</v>
      </c>
      <c r="G212" s="192">
        <f t="shared" si="84"/>
        <v>2306619170.4500003</v>
      </c>
      <c r="H212" s="24">
        <f t="shared" si="81"/>
        <v>1.0034891734441576</v>
      </c>
      <c r="I212" s="207" t="s">
        <v>150</v>
      </c>
      <c r="J212" s="294"/>
      <c r="K212" s="296"/>
      <c r="L212" s="282"/>
      <c r="M212" s="282"/>
    </row>
    <row r="213" spans="1:13" s="176" customFormat="1" x14ac:dyDescent="0.25">
      <c r="A213" s="188"/>
      <c r="B213" s="178"/>
      <c r="C213" s="171" t="s">
        <v>151</v>
      </c>
      <c r="D213" s="181">
        <v>922500000</v>
      </c>
      <c r="E213" s="192">
        <f>'Realisasi Nov'!G213</f>
        <v>826606433.61000001</v>
      </c>
      <c r="F213" s="181">
        <v>85015879.180000007</v>
      </c>
      <c r="G213" s="192">
        <f t="shared" si="84"/>
        <v>911622312.78999996</v>
      </c>
      <c r="H213" s="24">
        <f t="shared" si="81"/>
        <v>0.98820846914905147</v>
      </c>
      <c r="I213" s="207" t="s">
        <v>152</v>
      </c>
      <c r="J213" s="294"/>
      <c r="K213" s="296"/>
      <c r="L213" s="281">
        <f>J213-D213</f>
        <v>-922500000</v>
      </c>
      <c r="M213" s="282" t="s">
        <v>726</v>
      </c>
    </row>
    <row r="214" spans="1:13" s="176" customFormat="1" x14ac:dyDescent="0.25">
      <c r="A214" s="188"/>
      <c r="B214" s="178"/>
      <c r="C214" s="171" t="s">
        <v>153</v>
      </c>
      <c r="D214" s="192">
        <v>1105404000</v>
      </c>
      <c r="E214" s="192">
        <f>'Realisasi Nov'!G214</f>
        <v>1018778902.0899999</v>
      </c>
      <c r="F214" s="192">
        <v>101081026.7</v>
      </c>
      <c r="G214" s="192">
        <f t="shared" si="84"/>
        <v>1119859928.79</v>
      </c>
      <c r="H214" s="24">
        <f t="shared" si="81"/>
        <v>1.0130775072190801</v>
      </c>
      <c r="I214" s="207"/>
      <c r="J214" s="294"/>
      <c r="K214" s="296"/>
      <c r="L214" s="282"/>
      <c r="M214" s="282"/>
    </row>
    <row r="215" spans="1:13" s="176" customFormat="1" x14ac:dyDescent="0.25">
      <c r="A215" s="188"/>
      <c r="B215" s="178"/>
      <c r="C215" s="171" t="s">
        <v>154</v>
      </c>
      <c r="D215" s="192">
        <v>609500000</v>
      </c>
      <c r="E215" s="192">
        <f>'Realisasi Nov'!G215</f>
        <v>571067752.17000008</v>
      </c>
      <c r="F215" s="181">
        <v>62033008.149999999</v>
      </c>
      <c r="G215" s="192">
        <f t="shared" si="84"/>
        <v>633100760.32000005</v>
      </c>
      <c r="H215" s="24">
        <f t="shared" si="81"/>
        <v>1.0387215099589828</v>
      </c>
      <c r="I215" s="207" t="s">
        <v>155</v>
      </c>
      <c r="J215" s="294"/>
      <c r="K215" s="296"/>
      <c r="L215" s="282"/>
      <c r="M215" s="282"/>
    </row>
    <row r="216" spans="1:13" s="176" customFormat="1" x14ac:dyDescent="0.25">
      <c r="A216" s="188"/>
      <c r="B216" s="178"/>
      <c r="C216" s="171" t="s">
        <v>156</v>
      </c>
      <c r="D216" s="192">
        <v>2380000000</v>
      </c>
      <c r="E216" s="192">
        <f>'Realisasi Nov'!G216</f>
        <v>2183211653.5499997</v>
      </c>
      <c r="F216" s="181">
        <v>226119857.46000001</v>
      </c>
      <c r="G216" s="192">
        <f t="shared" si="84"/>
        <v>2409331511.0099998</v>
      </c>
      <c r="H216" s="24">
        <f t="shared" si="81"/>
        <v>1.0123241642899159</v>
      </c>
      <c r="I216" s="207" t="s">
        <v>157</v>
      </c>
      <c r="J216" s="294"/>
      <c r="K216" s="296"/>
      <c r="L216" s="282"/>
      <c r="M216" s="282"/>
    </row>
    <row r="217" spans="1:13" s="176" customFormat="1" x14ac:dyDescent="0.25">
      <c r="A217" s="188"/>
      <c r="B217" s="178"/>
      <c r="C217" s="171" t="s">
        <v>158</v>
      </c>
      <c r="D217" s="192">
        <v>1110542000</v>
      </c>
      <c r="E217" s="192">
        <f>'Realisasi Nov'!G217</f>
        <v>1039007077.59</v>
      </c>
      <c r="F217" s="192">
        <v>99183558.969999999</v>
      </c>
      <c r="G217" s="192">
        <f t="shared" si="84"/>
        <v>1138190636.5599999</v>
      </c>
      <c r="H217" s="24">
        <f t="shared" si="81"/>
        <v>1.0248965249040558</v>
      </c>
      <c r="I217" s="207" t="s">
        <v>159</v>
      </c>
      <c r="J217" s="294"/>
      <c r="K217" s="296"/>
      <c r="L217" s="295"/>
    </row>
    <row r="218" spans="1:13" s="176" customFormat="1" x14ac:dyDescent="0.25">
      <c r="A218" s="188"/>
      <c r="B218" s="178"/>
      <c r="C218" s="171" t="s">
        <v>160</v>
      </c>
      <c r="D218" s="192">
        <v>1640538650</v>
      </c>
      <c r="E218" s="192">
        <f>'Realisasi Nov'!G218</f>
        <v>1362652576.5400002</v>
      </c>
      <c r="F218" s="192">
        <v>130345784.01000001</v>
      </c>
      <c r="G218" s="192">
        <f t="shared" si="84"/>
        <v>1492998360.5500002</v>
      </c>
      <c r="H218" s="24">
        <f t="shared" si="81"/>
        <v>0.91006594727286683</v>
      </c>
      <c r="I218" s="207" t="s">
        <v>161</v>
      </c>
      <c r="J218" s="294"/>
      <c r="K218" s="296"/>
      <c r="L218" s="295"/>
    </row>
    <row r="219" spans="1:13" s="176" customFormat="1" x14ac:dyDescent="0.25">
      <c r="A219" s="188"/>
      <c r="B219" s="178"/>
      <c r="C219" s="171"/>
      <c r="D219" s="192"/>
      <c r="E219" s="192"/>
      <c r="F219" s="192"/>
      <c r="G219" s="192"/>
      <c r="H219" s="24"/>
      <c r="I219" s="207"/>
      <c r="J219" s="294"/>
      <c r="K219" s="295"/>
      <c r="L219" s="295"/>
    </row>
    <row r="220" spans="1:13" s="176" customFormat="1" x14ac:dyDescent="0.25">
      <c r="A220" s="168" t="s">
        <v>591</v>
      </c>
      <c r="B220" s="22" t="s">
        <v>306</v>
      </c>
      <c r="C220" s="185" t="s">
        <v>75</v>
      </c>
      <c r="D220" s="196">
        <f t="shared" ref="D220:G223" si="85">D221</f>
        <v>99495000</v>
      </c>
      <c r="E220" s="196">
        <f t="shared" si="85"/>
        <v>104151832</v>
      </c>
      <c r="F220" s="196">
        <f t="shared" si="85"/>
        <v>13980989</v>
      </c>
      <c r="G220" s="196">
        <f t="shared" si="85"/>
        <v>118132821</v>
      </c>
      <c r="H220" s="236">
        <f>G220/D220</f>
        <v>1.187324197195839</v>
      </c>
      <c r="I220" s="209"/>
      <c r="J220" s="294"/>
      <c r="K220" s="295"/>
      <c r="L220" s="295"/>
    </row>
    <row r="221" spans="1:13" s="176" customFormat="1" x14ac:dyDescent="0.25">
      <c r="A221" s="188"/>
      <c r="B221" s="189" t="s">
        <v>340</v>
      </c>
      <c r="C221" s="185" t="s">
        <v>341</v>
      </c>
      <c r="D221" s="196">
        <f t="shared" si="85"/>
        <v>99495000</v>
      </c>
      <c r="E221" s="196">
        <f t="shared" si="85"/>
        <v>104151832</v>
      </c>
      <c r="F221" s="196">
        <f t="shared" si="85"/>
        <v>13980989</v>
      </c>
      <c r="G221" s="196">
        <f t="shared" si="85"/>
        <v>118132821</v>
      </c>
      <c r="H221" s="236">
        <f>G221/D221</f>
        <v>1.187324197195839</v>
      </c>
      <c r="I221" s="209"/>
      <c r="J221" s="294"/>
      <c r="K221" s="295"/>
      <c r="L221" s="295"/>
    </row>
    <row r="222" spans="1:13" s="176" customFormat="1" x14ac:dyDescent="0.25">
      <c r="A222" s="188"/>
      <c r="B222" s="22"/>
      <c r="C222" s="185" t="s">
        <v>76</v>
      </c>
      <c r="D222" s="196">
        <f t="shared" si="85"/>
        <v>99495000</v>
      </c>
      <c r="E222" s="196">
        <f t="shared" si="85"/>
        <v>104151832</v>
      </c>
      <c r="F222" s="196">
        <f t="shared" si="85"/>
        <v>13980989</v>
      </c>
      <c r="G222" s="196">
        <f t="shared" si="85"/>
        <v>118132821</v>
      </c>
      <c r="H222" s="236">
        <f>G222/D222</f>
        <v>1.187324197195839</v>
      </c>
      <c r="I222" s="209"/>
      <c r="J222" s="294"/>
      <c r="K222" s="295"/>
      <c r="L222" s="295"/>
    </row>
    <row r="223" spans="1:13" s="176" customFormat="1" x14ac:dyDescent="0.25">
      <c r="A223" s="188"/>
      <c r="B223" s="178"/>
      <c r="C223" s="183" t="s">
        <v>77</v>
      </c>
      <c r="D223" s="191">
        <f t="shared" si="85"/>
        <v>99495000</v>
      </c>
      <c r="E223" s="191">
        <f t="shared" si="85"/>
        <v>104151832</v>
      </c>
      <c r="F223" s="191">
        <f t="shared" si="85"/>
        <v>13980989</v>
      </c>
      <c r="G223" s="191">
        <f t="shared" si="85"/>
        <v>118132821</v>
      </c>
      <c r="H223" s="236">
        <f>G223/D223</f>
        <v>1.187324197195839</v>
      </c>
      <c r="I223" s="207"/>
      <c r="J223" s="294"/>
      <c r="K223" s="295"/>
      <c r="L223" s="295"/>
    </row>
    <row r="224" spans="1:13" s="176" customFormat="1" x14ac:dyDescent="0.25">
      <c r="A224" s="182"/>
      <c r="B224" s="177" t="s">
        <v>79</v>
      </c>
      <c r="C224" s="183" t="s">
        <v>80</v>
      </c>
      <c r="D224" s="192">
        <v>99495000</v>
      </c>
      <c r="E224" s="192">
        <f>'Realisasi Nov'!G224</f>
        <v>104151832</v>
      </c>
      <c r="F224" s="192">
        <v>13980989</v>
      </c>
      <c r="G224" s="192">
        <f>E224+F224</f>
        <v>118132821</v>
      </c>
      <c r="H224" s="24">
        <f>G224/D224</f>
        <v>1.187324197195839</v>
      </c>
      <c r="I224" s="207" t="s">
        <v>78</v>
      </c>
      <c r="J224" s="294"/>
      <c r="K224" s="295"/>
      <c r="L224" s="295"/>
    </row>
    <row r="225" spans="1:12" s="176" customFormat="1" x14ac:dyDescent="0.25">
      <c r="A225" s="182"/>
      <c r="B225" s="177"/>
      <c r="C225" s="183"/>
      <c r="D225" s="192"/>
      <c r="E225" s="192"/>
      <c r="F225" s="192"/>
      <c r="G225" s="191"/>
      <c r="H225" s="24"/>
      <c r="I225" s="207"/>
      <c r="J225" s="294"/>
      <c r="K225" s="295"/>
      <c r="L225" s="295"/>
    </row>
    <row r="226" spans="1:12" s="187" customFormat="1" x14ac:dyDescent="0.25">
      <c r="A226" s="165" t="s">
        <v>627</v>
      </c>
      <c r="B226" s="179" t="s">
        <v>446</v>
      </c>
      <c r="C226" s="180" t="s">
        <v>447</v>
      </c>
      <c r="D226" s="191">
        <f>D227</f>
        <v>0</v>
      </c>
      <c r="E226" s="191"/>
      <c r="F226" s="191">
        <f>F227</f>
        <v>0</v>
      </c>
      <c r="G226" s="191">
        <f>G227</f>
        <v>0</v>
      </c>
      <c r="H226" s="253" t="e">
        <f>G226/D226</f>
        <v>#DIV/0!</v>
      </c>
      <c r="I226" s="216"/>
      <c r="J226" s="297"/>
      <c r="K226" s="298"/>
    </row>
    <row r="227" spans="1:12" s="187" customFormat="1" x14ac:dyDescent="0.25">
      <c r="A227" s="254"/>
      <c r="B227" s="179" t="s">
        <v>448</v>
      </c>
      <c r="C227" s="180" t="s">
        <v>449</v>
      </c>
      <c r="D227" s="191">
        <f>SUM(D228:D230)</f>
        <v>0</v>
      </c>
      <c r="E227" s="191"/>
      <c r="F227" s="191">
        <f>SUM(F228:F230)</f>
        <v>0</v>
      </c>
      <c r="G227" s="191">
        <f>SUM(G228:G230)</f>
        <v>0</v>
      </c>
      <c r="H227" s="253" t="e">
        <f>G227/D227</f>
        <v>#DIV/0!</v>
      </c>
      <c r="I227" s="216"/>
      <c r="J227" s="297"/>
      <c r="K227" s="298"/>
    </row>
    <row r="228" spans="1:12" s="176" customFormat="1" x14ac:dyDescent="0.25">
      <c r="A228" s="182"/>
      <c r="B228" s="178"/>
      <c r="C228" s="193" t="s">
        <v>450</v>
      </c>
      <c r="D228" s="192">
        <v>0</v>
      </c>
      <c r="E228" s="192">
        <f>'Realisasi April'!G221</f>
        <v>0</v>
      </c>
      <c r="F228" s="192"/>
      <c r="G228" s="192">
        <f>E228+F228</f>
        <v>0</v>
      </c>
      <c r="H228" s="252" t="e">
        <f>G228/D228</f>
        <v>#DIV/0!</v>
      </c>
      <c r="I228" s="207"/>
      <c r="J228" s="294"/>
      <c r="K228" s="295"/>
    </row>
    <row r="229" spans="1:12" s="176" customFormat="1" x14ac:dyDescent="0.25">
      <c r="A229" s="182"/>
      <c r="B229" s="178"/>
      <c r="C229" s="193" t="s">
        <v>451</v>
      </c>
      <c r="D229" s="192">
        <v>0</v>
      </c>
      <c r="E229" s="192">
        <f>'Realisasi April'!G222</f>
        <v>0</v>
      </c>
      <c r="F229" s="192"/>
      <c r="G229" s="192">
        <f>E229+F229</f>
        <v>0</v>
      </c>
      <c r="H229" s="252" t="e">
        <f>G229/D229</f>
        <v>#DIV/0!</v>
      </c>
      <c r="I229" s="207"/>
      <c r="J229" s="294"/>
      <c r="K229" s="295"/>
    </row>
    <row r="230" spans="1:12" s="176" customFormat="1" x14ac:dyDescent="0.25">
      <c r="A230" s="182"/>
      <c r="B230" s="178"/>
      <c r="C230" s="193"/>
      <c r="D230" s="192"/>
      <c r="E230" s="192"/>
      <c r="F230" s="192"/>
      <c r="G230" s="192"/>
      <c r="H230" s="252"/>
      <c r="I230" s="207"/>
      <c r="J230" s="294"/>
      <c r="K230" s="295"/>
    </row>
    <row r="231" spans="1:12" s="176" customFormat="1" x14ac:dyDescent="0.25">
      <c r="A231" s="182"/>
      <c r="B231" s="36"/>
      <c r="C231" s="37"/>
      <c r="D231" s="192"/>
      <c r="E231" s="192"/>
      <c r="F231" s="192"/>
      <c r="G231" s="191"/>
      <c r="H231" s="236"/>
      <c r="I231" s="222"/>
      <c r="J231" s="294"/>
      <c r="K231" s="295"/>
    </row>
    <row r="232" spans="1:12" s="176" customFormat="1" ht="24.75" customHeight="1" x14ac:dyDescent="0.25">
      <c r="A232" s="126" t="s">
        <v>163</v>
      </c>
      <c r="B232" s="128" t="s">
        <v>164</v>
      </c>
      <c r="C232" s="41" t="s">
        <v>268</v>
      </c>
      <c r="D232" s="42">
        <f>SUM(D233+D417)</f>
        <v>939777284241.33008</v>
      </c>
      <c r="E232" s="42">
        <f>SUM(E233+E417)</f>
        <v>788749568461</v>
      </c>
      <c r="F232" s="42">
        <f>SUM(F233+F417)</f>
        <v>117445136686</v>
      </c>
      <c r="G232" s="42">
        <f>SUM(G233+G417)</f>
        <v>906194705147</v>
      </c>
      <c r="H232" s="237">
        <f t="shared" ref="H232:H246" si="86">G232/D232</f>
        <v>0.96426538536580941</v>
      </c>
      <c r="I232" s="223"/>
      <c r="J232" s="294"/>
      <c r="K232" s="296"/>
    </row>
    <row r="233" spans="1:12" s="176" customFormat="1" x14ac:dyDescent="0.25">
      <c r="A233" s="134" t="s">
        <v>416</v>
      </c>
      <c r="B233" s="135" t="s">
        <v>350</v>
      </c>
      <c r="C233" s="136" t="s">
        <v>351</v>
      </c>
      <c r="D233" s="137">
        <f>SUM(D234+D410)</f>
        <v>794763838753</v>
      </c>
      <c r="E233" s="137">
        <f>SUM(E234+E410)</f>
        <v>669970657010</v>
      </c>
      <c r="F233" s="137">
        <f>SUM(F234+F410)</f>
        <v>108750343719</v>
      </c>
      <c r="G233" s="137">
        <f>SUM(G234+G410)</f>
        <v>778721000729</v>
      </c>
      <c r="H233" s="238">
        <f t="shared" si="86"/>
        <v>0.97981433321227662</v>
      </c>
      <c r="I233" s="223"/>
      <c r="J233" s="294"/>
      <c r="K233" s="295"/>
    </row>
    <row r="234" spans="1:12" s="176" customFormat="1" x14ac:dyDescent="0.25">
      <c r="A234" s="123" t="s">
        <v>89</v>
      </c>
      <c r="B234" s="133" t="s">
        <v>352</v>
      </c>
      <c r="C234" s="124" t="s">
        <v>165</v>
      </c>
      <c r="D234" s="125">
        <f>SUM(D235+D293+D295+D365)</f>
        <v>774402942753</v>
      </c>
      <c r="E234" s="125">
        <f>SUM(E235+E293+E295+E365)</f>
        <v>661107333010</v>
      </c>
      <c r="F234" s="125">
        <f>SUM(F235+F293+F295+F365)</f>
        <v>97252771719</v>
      </c>
      <c r="G234" s="125">
        <f>SUM(G235+G293+G295+G365)</f>
        <v>758360104729</v>
      </c>
      <c r="H234" s="239">
        <f t="shared" si="86"/>
        <v>0.97928360400211323</v>
      </c>
      <c r="I234" s="223"/>
      <c r="J234" s="294"/>
      <c r="K234" s="296"/>
    </row>
    <row r="235" spans="1:12" s="176" customFormat="1" x14ac:dyDescent="0.25">
      <c r="A235" s="138" t="s">
        <v>166</v>
      </c>
      <c r="B235" s="139" t="s">
        <v>353</v>
      </c>
      <c r="C235" s="140" t="s">
        <v>354</v>
      </c>
      <c r="D235" s="141">
        <f>SUM(D236+D260+D264+D268+D272+D276+D280+D285+D288+D258)</f>
        <v>162373681000</v>
      </c>
      <c r="E235" s="141">
        <f>E236+E260+E264+E268+E272+E276+E280+E288+E258</f>
        <v>129485170326</v>
      </c>
      <c r="F235" s="141">
        <f>F236+F260+F264+F268+F272+F276+F280+F288+F258</f>
        <v>38157185300</v>
      </c>
      <c r="G235" s="141">
        <f>G236+G260+G264+G268+G272+G276+G280+G288+G258</f>
        <v>167642355626</v>
      </c>
      <c r="H235" s="240">
        <f t="shared" si="86"/>
        <v>1.0324478363337715</v>
      </c>
      <c r="I235" s="224"/>
      <c r="J235" s="294"/>
      <c r="K235" s="296"/>
    </row>
    <row r="236" spans="1:12" s="187" customFormat="1" x14ac:dyDescent="0.25">
      <c r="A236" s="184" t="s">
        <v>406</v>
      </c>
      <c r="B236" s="189" t="s">
        <v>355</v>
      </c>
      <c r="C236" s="185" t="s">
        <v>356</v>
      </c>
      <c r="D236" s="196">
        <f>D237+D247</f>
        <v>26807415000</v>
      </c>
      <c r="E236" s="196">
        <f>E237+E247</f>
        <v>27895931826</v>
      </c>
      <c r="F236" s="196">
        <f>F237+F247</f>
        <v>394982850</v>
      </c>
      <c r="G236" s="196">
        <f>G237+G247</f>
        <v>28290914676</v>
      </c>
      <c r="H236" s="236">
        <f t="shared" si="86"/>
        <v>1.0553391543347241</v>
      </c>
      <c r="I236" s="225" t="s">
        <v>167</v>
      </c>
      <c r="J236" s="297"/>
      <c r="K236" s="298"/>
    </row>
    <row r="237" spans="1:12" s="187" customFormat="1" x14ac:dyDescent="0.25">
      <c r="A237" s="184"/>
      <c r="B237" s="189"/>
      <c r="C237" s="185" t="s">
        <v>633</v>
      </c>
      <c r="D237" s="196">
        <f>SUM(D238:D246)</f>
        <v>26807415000</v>
      </c>
      <c r="E237" s="196">
        <f>SUM(E238:E246)</f>
        <v>26412432150</v>
      </c>
      <c r="F237" s="196">
        <f>SUM(F238:F246)</f>
        <v>394982850</v>
      </c>
      <c r="G237" s="196">
        <f>SUM(G238:G246)</f>
        <v>26807415000</v>
      </c>
      <c r="H237" s="236">
        <f t="shared" si="86"/>
        <v>1</v>
      </c>
      <c r="I237" s="225"/>
      <c r="J237" s="297"/>
      <c r="K237" s="298"/>
    </row>
    <row r="238" spans="1:12" s="187" customFormat="1" x14ac:dyDescent="0.25">
      <c r="A238" s="184"/>
      <c r="B238" s="190"/>
      <c r="C238" s="193" t="s">
        <v>453</v>
      </c>
      <c r="D238" s="181">
        <v>3820583000</v>
      </c>
      <c r="E238" s="181">
        <f>'Realisasi Nov'!G238</f>
        <v>3820583000</v>
      </c>
      <c r="F238" s="181"/>
      <c r="G238" s="192">
        <f>E238+F238</f>
        <v>3820583000</v>
      </c>
      <c r="H238" s="24">
        <f t="shared" si="86"/>
        <v>1</v>
      </c>
      <c r="I238" s="225"/>
      <c r="J238" s="297"/>
      <c r="K238" s="298"/>
    </row>
    <row r="239" spans="1:12" s="187" customFormat="1" x14ac:dyDescent="0.25">
      <c r="A239" s="184"/>
      <c r="B239" s="190"/>
      <c r="C239" s="193" t="s">
        <v>454</v>
      </c>
      <c r="D239" s="181">
        <v>16610000</v>
      </c>
      <c r="E239" s="181">
        <f>'Realisasi Nov'!G239</f>
        <v>14118500</v>
      </c>
      <c r="F239" s="181">
        <f>2491500</f>
        <v>2491500</v>
      </c>
      <c r="G239" s="192">
        <f t="shared" ref="G239:G246" si="87">E239+F239</f>
        <v>16610000</v>
      </c>
      <c r="H239" s="24">
        <f t="shared" si="86"/>
        <v>1</v>
      </c>
      <c r="I239" s="225"/>
      <c r="J239" s="297"/>
      <c r="K239" s="298"/>
    </row>
    <row r="240" spans="1:12" s="187" customFormat="1" x14ac:dyDescent="0.25">
      <c r="A240" s="184"/>
      <c r="B240" s="190"/>
      <c r="C240" s="193" t="s">
        <v>455</v>
      </c>
      <c r="D240" s="181">
        <v>2418594000</v>
      </c>
      <c r="E240" s="181">
        <f>'Realisasi Nov'!G240</f>
        <v>2055804900</v>
      </c>
      <c r="F240" s="181">
        <f>362789100</f>
        <v>362789100</v>
      </c>
      <c r="G240" s="192">
        <f t="shared" si="87"/>
        <v>2418594000</v>
      </c>
      <c r="H240" s="24">
        <f t="shared" si="86"/>
        <v>1</v>
      </c>
      <c r="I240" s="225"/>
      <c r="J240" s="297"/>
      <c r="K240" s="298"/>
    </row>
    <row r="241" spans="1:13" s="187" customFormat="1" x14ac:dyDescent="0.25">
      <c r="A241" s="184"/>
      <c r="B241" s="190"/>
      <c r="C241" s="193" t="s">
        <v>456</v>
      </c>
      <c r="D241" s="181">
        <v>19697014000</v>
      </c>
      <c r="E241" s="181">
        <f>'Realisasi Nov'!G241</f>
        <v>19697014000</v>
      </c>
      <c r="F241" s="181"/>
      <c r="G241" s="192">
        <f t="shared" si="87"/>
        <v>19697014000</v>
      </c>
      <c r="H241" s="24">
        <f t="shared" si="86"/>
        <v>1</v>
      </c>
      <c r="I241" s="225"/>
      <c r="J241" s="297"/>
      <c r="K241" s="298"/>
    </row>
    <row r="242" spans="1:13" s="187" customFormat="1" x14ac:dyDescent="0.25">
      <c r="A242" s="184"/>
      <c r="B242" s="190"/>
      <c r="C242" s="193" t="s">
        <v>457</v>
      </c>
      <c r="D242" s="181">
        <v>99893000</v>
      </c>
      <c r="E242" s="181">
        <f>'Realisasi Nov'!G242</f>
        <v>84909050</v>
      </c>
      <c r="F242" s="181">
        <f>14983950</f>
        <v>14983950</v>
      </c>
      <c r="G242" s="192">
        <f t="shared" si="87"/>
        <v>99893000</v>
      </c>
      <c r="H242" s="24">
        <f t="shared" si="86"/>
        <v>1</v>
      </c>
      <c r="I242" s="225"/>
      <c r="J242" s="297"/>
      <c r="K242" s="298"/>
    </row>
    <row r="243" spans="1:13" s="187" customFormat="1" x14ac:dyDescent="0.25">
      <c r="A243" s="184"/>
      <c r="B243" s="190"/>
      <c r="C243" s="193" t="s">
        <v>458</v>
      </c>
      <c r="D243" s="181">
        <v>738000</v>
      </c>
      <c r="E243" s="181">
        <f>'Realisasi Nov'!G243</f>
        <v>627300</v>
      </c>
      <c r="F243" s="181">
        <f>110700</f>
        <v>110700</v>
      </c>
      <c r="G243" s="192">
        <f t="shared" si="87"/>
        <v>738000</v>
      </c>
      <c r="H243" s="24">
        <f t="shared" si="86"/>
        <v>1</v>
      </c>
      <c r="I243" s="225"/>
      <c r="J243" s="297"/>
      <c r="K243" s="298"/>
    </row>
    <row r="244" spans="1:13" s="187" customFormat="1" x14ac:dyDescent="0.25">
      <c r="A244" s="184"/>
      <c r="B244" s="190"/>
      <c r="C244" s="193" t="s">
        <v>459</v>
      </c>
      <c r="D244" s="181">
        <v>94054000</v>
      </c>
      <c r="E244" s="181">
        <f>'Realisasi Nov'!G244</f>
        <v>79945900</v>
      </c>
      <c r="F244" s="181">
        <f>14108100</f>
        <v>14108100</v>
      </c>
      <c r="G244" s="192">
        <f t="shared" si="87"/>
        <v>94054000</v>
      </c>
      <c r="H244" s="24">
        <f t="shared" si="86"/>
        <v>1</v>
      </c>
      <c r="I244" s="225"/>
      <c r="J244" s="297"/>
      <c r="K244" s="298"/>
    </row>
    <row r="245" spans="1:13" s="187" customFormat="1" x14ac:dyDescent="0.25">
      <c r="A245" s="184"/>
      <c r="B245" s="190"/>
      <c r="C245" s="193" t="s">
        <v>460</v>
      </c>
      <c r="D245" s="181">
        <v>656599000</v>
      </c>
      <c r="E245" s="181">
        <f>'Realisasi Nov'!G245</f>
        <v>656599000</v>
      </c>
      <c r="F245" s="181"/>
      <c r="G245" s="192">
        <f t="shared" si="87"/>
        <v>656599000</v>
      </c>
      <c r="H245" s="24">
        <f t="shared" si="86"/>
        <v>1</v>
      </c>
      <c r="I245" s="225"/>
      <c r="J245" s="297"/>
      <c r="K245" s="298"/>
      <c r="M245" s="187" t="s">
        <v>671</v>
      </c>
    </row>
    <row r="246" spans="1:13" s="187" customFormat="1" x14ac:dyDescent="0.25">
      <c r="A246" s="184"/>
      <c r="B246" s="190"/>
      <c r="C246" s="193" t="s">
        <v>461</v>
      </c>
      <c r="D246" s="181">
        <v>3330000</v>
      </c>
      <c r="E246" s="181">
        <f>'Realisasi Nov'!G246</f>
        <v>2830500</v>
      </c>
      <c r="F246" s="181">
        <f>499500</f>
        <v>499500</v>
      </c>
      <c r="G246" s="192">
        <f t="shared" si="87"/>
        <v>3330000</v>
      </c>
      <c r="H246" s="24">
        <f t="shared" si="86"/>
        <v>1</v>
      </c>
      <c r="I246" s="225"/>
      <c r="J246" s="297"/>
      <c r="K246" s="298"/>
    </row>
    <row r="247" spans="1:13" s="187" customFormat="1" x14ac:dyDescent="0.25">
      <c r="A247" s="184"/>
      <c r="B247" s="190"/>
      <c r="C247" s="35" t="s">
        <v>519</v>
      </c>
      <c r="D247" s="196">
        <f>SUM(D248:D256)</f>
        <v>0</v>
      </c>
      <c r="E247" s="196">
        <f>SUM(E248:E256)</f>
        <v>1483499676</v>
      </c>
      <c r="F247" s="196">
        <f t="shared" ref="F247:G247" si="88">SUM(F248:F256)</f>
        <v>0</v>
      </c>
      <c r="G247" s="196">
        <f t="shared" si="88"/>
        <v>1483499676</v>
      </c>
      <c r="H247" s="253" t="e">
        <f t="shared" ref="H247:H258" si="89">G247/D247</f>
        <v>#DIV/0!</v>
      </c>
      <c r="I247" s="225"/>
      <c r="J247" s="297"/>
      <c r="K247" s="298"/>
    </row>
    <row r="248" spans="1:13" s="187" customFormat="1" x14ac:dyDescent="0.25">
      <c r="A248" s="184"/>
      <c r="B248" s="190"/>
      <c r="C248" s="193" t="s">
        <v>707</v>
      </c>
      <c r="D248" s="181"/>
      <c r="E248" s="181">
        <f>'Realisasi Nov'!G248</f>
        <v>803667166</v>
      </c>
      <c r="F248" s="196"/>
      <c r="G248" s="181">
        <f>E248+F248</f>
        <v>803667166</v>
      </c>
      <c r="H248" s="252" t="e">
        <f t="shared" si="89"/>
        <v>#DIV/0!</v>
      </c>
      <c r="I248" s="225"/>
      <c r="J248" s="297"/>
      <c r="K248" s="298"/>
    </row>
    <row r="249" spans="1:13" s="187" customFormat="1" x14ac:dyDescent="0.25">
      <c r="A249" s="184"/>
      <c r="B249" s="190"/>
      <c r="C249" s="193" t="s">
        <v>708</v>
      </c>
      <c r="D249" s="181"/>
      <c r="E249" s="181">
        <f>'Realisasi Nov'!G249</f>
        <v>6955302</v>
      </c>
      <c r="F249" s="181"/>
      <c r="G249" s="181">
        <f t="shared" ref="G249:G256" si="90">E249+F249</f>
        <v>6955302</v>
      </c>
      <c r="H249" s="252" t="e">
        <f t="shared" si="89"/>
        <v>#DIV/0!</v>
      </c>
      <c r="I249" s="225"/>
      <c r="J249" s="297"/>
      <c r="K249" s="298"/>
    </row>
    <row r="250" spans="1:13" s="187" customFormat="1" x14ac:dyDescent="0.25">
      <c r="A250" s="184"/>
      <c r="B250" s="190"/>
      <c r="C250" s="193" t="s">
        <v>710</v>
      </c>
      <c r="D250" s="181"/>
      <c r="E250" s="181">
        <f>'Realisasi Nov'!G250</f>
        <v>586910454</v>
      </c>
      <c r="F250" s="181"/>
      <c r="G250" s="181">
        <f t="shared" si="90"/>
        <v>586910454</v>
      </c>
      <c r="H250" s="252" t="e">
        <f t="shared" si="89"/>
        <v>#DIV/0!</v>
      </c>
      <c r="I250" s="225"/>
      <c r="J250" s="297"/>
      <c r="K250" s="298"/>
    </row>
    <row r="251" spans="1:13" s="187" customFormat="1" x14ac:dyDescent="0.25">
      <c r="A251" s="184"/>
      <c r="B251" s="190"/>
      <c r="C251" s="193" t="s">
        <v>709</v>
      </c>
      <c r="D251" s="181"/>
      <c r="E251" s="181">
        <f>'Realisasi Nov'!G251</f>
        <v>60807157</v>
      </c>
      <c r="F251" s="181"/>
      <c r="G251" s="181">
        <f t="shared" si="90"/>
        <v>60807157</v>
      </c>
      <c r="H251" s="252" t="e">
        <f t="shared" si="89"/>
        <v>#DIV/0!</v>
      </c>
      <c r="I251" s="225"/>
      <c r="J251" s="297"/>
      <c r="K251" s="298"/>
    </row>
    <row r="252" spans="1:13" s="187" customFormat="1" x14ac:dyDescent="0.25">
      <c r="A252" s="184"/>
      <c r="B252" s="190"/>
      <c r="C252" s="193" t="s">
        <v>711</v>
      </c>
      <c r="D252" s="181"/>
      <c r="E252" s="181">
        <f>'Realisasi Nov'!G252</f>
        <v>309013</v>
      </c>
      <c r="F252" s="181"/>
      <c r="G252" s="181">
        <f t="shared" si="90"/>
        <v>309013</v>
      </c>
      <c r="H252" s="252" t="e">
        <f t="shared" si="89"/>
        <v>#DIV/0!</v>
      </c>
      <c r="I252" s="225"/>
      <c r="J252" s="297"/>
      <c r="K252" s="298"/>
    </row>
    <row r="253" spans="1:13" s="187" customFormat="1" x14ac:dyDescent="0.25">
      <c r="A253" s="184"/>
      <c r="B253" s="190"/>
      <c r="C253" s="193" t="s">
        <v>712</v>
      </c>
      <c r="D253" s="181"/>
      <c r="E253" s="181">
        <f>'Realisasi Nov'!G253</f>
        <v>22824512</v>
      </c>
      <c r="F253" s="181"/>
      <c r="G253" s="181">
        <f t="shared" si="90"/>
        <v>22824512</v>
      </c>
      <c r="H253" s="252" t="e">
        <f t="shared" si="89"/>
        <v>#DIV/0!</v>
      </c>
      <c r="I253" s="225"/>
      <c r="J253" s="297"/>
      <c r="K253" s="298"/>
    </row>
    <row r="254" spans="1:13" s="187" customFormat="1" x14ac:dyDescent="0.25">
      <c r="A254" s="184"/>
      <c r="B254" s="190"/>
      <c r="C254" s="193" t="s">
        <v>713</v>
      </c>
      <c r="D254" s="181"/>
      <c r="E254" s="181">
        <f>'Realisasi Nov'!G254</f>
        <v>2026072</v>
      </c>
      <c r="F254" s="181"/>
      <c r="G254" s="181">
        <f t="shared" si="90"/>
        <v>2026072</v>
      </c>
      <c r="H254" s="252" t="e">
        <f t="shared" si="89"/>
        <v>#DIV/0!</v>
      </c>
      <c r="I254" s="225"/>
      <c r="J254" s="297"/>
      <c r="K254" s="298"/>
    </row>
    <row r="255" spans="1:13" s="187" customFormat="1" x14ac:dyDescent="0.25">
      <c r="A255" s="184"/>
      <c r="B255" s="190"/>
      <c r="C255" s="193" t="s">
        <v>714</v>
      </c>
      <c r="D255" s="181"/>
      <c r="E255" s="181">
        <f>'Realisasi Nov'!G255</f>
        <v>0</v>
      </c>
      <c r="F255" s="181"/>
      <c r="G255" s="181">
        <f t="shared" si="90"/>
        <v>0</v>
      </c>
      <c r="H255" s="252" t="e">
        <f t="shared" si="89"/>
        <v>#DIV/0!</v>
      </c>
      <c r="I255" s="225"/>
      <c r="J255" s="297"/>
      <c r="K255" s="298"/>
    </row>
    <row r="256" spans="1:13" s="187" customFormat="1" x14ac:dyDescent="0.25">
      <c r="A256" s="184"/>
      <c r="B256" s="190"/>
      <c r="C256" s="193" t="s">
        <v>715</v>
      </c>
      <c r="D256" s="181"/>
      <c r="E256" s="181">
        <f>'Realisasi Nov'!G256</f>
        <v>0</v>
      </c>
      <c r="F256" s="181"/>
      <c r="G256" s="181">
        <f t="shared" si="90"/>
        <v>0</v>
      </c>
      <c r="H256" s="252" t="e">
        <f t="shared" si="89"/>
        <v>#DIV/0!</v>
      </c>
      <c r="I256" s="225"/>
      <c r="J256" s="297"/>
      <c r="K256" s="298"/>
    </row>
    <row r="257" spans="1:11" s="187" customFormat="1" x14ac:dyDescent="0.25">
      <c r="A257" s="184"/>
      <c r="B257" s="190"/>
      <c r="C257" s="193"/>
      <c r="D257" s="181"/>
      <c r="E257" s="181"/>
      <c r="F257" s="181"/>
      <c r="G257" s="192"/>
      <c r="H257" s="24"/>
      <c r="I257" s="225"/>
      <c r="J257" s="297"/>
      <c r="K257" s="298"/>
    </row>
    <row r="258" spans="1:11" s="187" customFormat="1" x14ac:dyDescent="0.25">
      <c r="A258" s="184"/>
      <c r="B258" s="190"/>
      <c r="C258" s="35" t="s">
        <v>688</v>
      </c>
      <c r="D258" s="196">
        <v>261000</v>
      </c>
      <c r="E258" s="196">
        <f>'Realisasi Nov'!G258</f>
        <v>42840</v>
      </c>
      <c r="F258" s="196"/>
      <c r="G258" s="191">
        <f>E258+F258</f>
        <v>42840</v>
      </c>
      <c r="H258" s="236">
        <f t="shared" si="89"/>
        <v>0.16413793103448276</v>
      </c>
      <c r="I258" s="225"/>
      <c r="J258" s="297"/>
      <c r="K258" s="298"/>
    </row>
    <row r="259" spans="1:11" s="187" customFormat="1" x14ac:dyDescent="0.25">
      <c r="A259" s="184"/>
      <c r="B259" s="190"/>
      <c r="C259" s="183"/>
      <c r="D259" s="181"/>
      <c r="E259" s="196"/>
      <c r="F259" s="181"/>
      <c r="G259" s="192"/>
      <c r="H259" s="24"/>
      <c r="I259" s="225"/>
      <c r="J259" s="297"/>
      <c r="K259" s="298"/>
    </row>
    <row r="260" spans="1:11" s="187" customFormat="1" x14ac:dyDescent="0.25">
      <c r="A260" s="184" t="s">
        <v>407</v>
      </c>
      <c r="B260" s="189" t="s">
        <v>357</v>
      </c>
      <c r="C260" s="185" t="s">
        <v>358</v>
      </c>
      <c r="D260" s="191">
        <v>26523015000</v>
      </c>
      <c r="E260" s="196">
        <f>SUM(E261:E262)</f>
        <v>26523015000</v>
      </c>
      <c r="F260" s="196">
        <f t="shared" ref="F260:G260" si="91">SUM(F261:F262)</f>
        <v>0</v>
      </c>
      <c r="G260" s="196">
        <f t="shared" si="91"/>
        <v>26523015000</v>
      </c>
      <c r="H260" s="236">
        <f>G260/D260</f>
        <v>1</v>
      </c>
      <c r="I260" s="225" t="s">
        <v>167</v>
      </c>
      <c r="J260" s="297"/>
      <c r="K260" s="298"/>
    </row>
    <row r="261" spans="1:11" s="187" customFormat="1" x14ac:dyDescent="0.25">
      <c r="A261" s="184"/>
      <c r="B261" s="190"/>
      <c r="C261" s="193" t="s">
        <v>650</v>
      </c>
      <c r="D261" s="192"/>
      <c r="E261" s="181">
        <f>'Realisasi Nov'!G261</f>
        <v>26523015000</v>
      </c>
      <c r="F261" s="192"/>
      <c r="G261" s="192">
        <f>E261+F261</f>
        <v>26523015000</v>
      </c>
      <c r="H261" s="252" t="e">
        <f>G261/D261</f>
        <v>#DIV/0!</v>
      </c>
      <c r="I261" s="225"/>
      <c r="J261" s="297"/>
      <c r="K261" s="298"/>
    </row>
    <row r="262" spans="1:11" s="187" customFormat="1" x14ac:dyDescent="0.25">
      <c r="A262" s="184"/>
      <c r="B262" s="190"/>
      <c r="C262" s="193" t="s">
        <v>651</v>
      </c>
      <c r="D262" s="192"/>
      <c r="E262" s="181">
        <f>'Realisasi Nov'!G262</f>
        <v>0</v>
      </c>
      <c r="F262" s="192"/>
      <c r="G262" s="192">
        <f t="shared" ref="G262" si="92">E262+F262</f>
        <v>0</v>
      </c>
      <c r="H262" s="252" t="e">
        <f>G262/D262</f>
        <v>#DIV/0!</v>
      </c>
      <c r="I262" s="225"/>
      <c r="J262" s="297"/>
      <c r="K262" s="298"/>
    </row>
    <row r="263" spans="1:11" s="187" customFormat="1" x14ac:dyDescent="0.25">
      <c r="A263" s="184"/>
      <c r="B263" s="190"/>
      <c r="C263" s="183"/>
      <c r="D263" s="192"/>
      <c r="E263" s="181"/>
      <c r="F263" s="192"/>
      <c r="G263" s="192"/>
      <c r="H263" s="24"/>
      <c r="I263" s="225"/>
      <c r="J263" s="297"/>
      <c r="K263" s="298"/>
    </row>
    <row r="264" spans="1:11" s="187" customFormat="1" x14ac:dyDescent="0.25">
      <c r="A264" s="184" t="s">
        <v>408</v>
      </c>
      <c r="B264" s="189" t="s">
        <v>359</v>
      </c>
      <c r="C264" s="185" t="s">
        <v>360</v>
      </c>
      <c r="D264" s="191">
        <v>1150983000</v>
      </c>
      <c r="E264" s="196">
        <f>E265+E266</f>
        <v>2265106496</v>
      </c>
      <c r="F264" s="196">
        <f t="shared" ref="F264:G264" si="93">F265+F266</f>
        <v>0</v>
      </c>
      <c r="G264" s="196">
        <f t="shared" si="93"/>
        <v>2265106496</v>
      </c>
      <c r="H264" s="236">
        <f>G264/D264</f>
        <v>1.9679756312647536</v>
      </c>
      <c r="I264" s="225" t="s">
        <v>167</v>
      </c>
      <c r="J264" s="297"/>
      <c r="K264" s="298"/>
    </row>
    <row r="265" spans="1:11" s="187" customFormat="1" x14ac:dyDescent="0.25">
      <c r="A265" s="184"/>
      <c r="B265" s="190"/>
      <c r="C265" s="193" t="s">
        <v>652</v>
      </c>
      <c r="D265" s="192"/>
      <c r="E265" s="181">
        <f>'Realisasi Nov'!G265</f>
        <v>1150983000</v>
      </c>
      <c r="F265" s="192"/>
      <c r="G265" s="192">
        <f>E265+F265</f>
        <v>1150983000</v>
      </c>
      <c r="H265" s="252" t="e">
        <f>G265/D265</f>
        <v>#DIV/0!</v>
      </c>
      <c r="I265" s="225"/>
      <c r="J265" s="297"/>
      <c r="K265" s="298"/>
    </row>
    <row r="266" spans="1:11" s="187" customFormat="1" x14ac:dyDescent="0.25">
      <c r="A266" s="184"/>
      <c r="B266" s="190"/>
      <c r="C266" s="193" t="s">
        <v>653</v>
      </c>
      <c r="D266" s="192"/>
      <c r="E266" s="181">
        <f>'Realisasi Nov'!G266</f>
        <v>1114123496</v>
      </c>
      <c r="F266" s="192"/>
      <c r="G266" s="192">
        <f t="shared" ref="G266" si="94">E266+F266</f>
        <v>1114123496</v>
      </c>
      <c r="H266" s="252" t="e">
        <f>G266/D266</f>
        <v>#DIV/0!</v>
      </c>
      <c r="I266" s="225"/>
      <c r="J266" s="297"/>
      <c r="K266" s="298"/>
    </row>
    <row r="267" spans="1:11" s="187" customFormat="1" x14ac:dyDescent="0.25">
      <c r="A267" s="184"/>
      <c r="B267" s="190"/>
      <c r="C267" s="183"/>
      <c r="D267" s="192"/>
      <c r="E267" s="181"/>
      <c r="F267" s="192"/>
      <c r="G267" s="192"/>
      <c r="H267" s="24"/>
      <c r="I267" s="225"/>
      <c r="J267" s="297"/>
      <c r="K267" s="298"/>
    </row>
    <row r="268" spans="1:11" s="187" customFormat="1" x14ac:dyDescent="0.25">
      <c r="A268" s="184" t="s">
        <v>409</v>
      </c>
      <c r="B268" s="189" t="s">
        <v>405</v>
      </c>
      <c r="C268" s="185" t="s">
        <v>361</v>
      </c>
      <c r="D268" s="191">
        <v>90637250000</v>
      </c>
      <c r="E268" s="196">
        <f>SUM(E269:E270)</f>
        <v>61585482114</v>
      </c>
      <c r="F268" s="196">
        <f t="shared" ref="F268:G268" si="95">SUM(F269:F270)</f>
        <v>31723037500</v>
      </c>
      <c r="G268" s="196">
        <f t="shared" si="95"/>
        <v>93308519614</v>
      </c>
      <c r="H268" s="236">
        <f>G268/D268</f>
        <v>1.0294720946851321</v>
      </c>
      <c r="I268" s="225" t="s">
        <v>167</v>
      </c>
      <c r="J268" s="297"/>
      <c r="K268" s="298"/>
    </row>
    <row r="269" spans="1:11" s="187" customFormat="1" x14ac:dyDescent="0.25">
      <c r="A269" s="184"/>
      <c r="B269" s="190"/>
      <c r="C269" s="193" t="s">
        <v>654</v>
      </c>
      <c r="D269" s="192"/>
      <c r="E269" s="181">
        <f>'Realisasi Nov'!G269</f>
        <v>58914212500</v>
      </c>
      <c r="F269" s="192">
        <f>30699689300+1023348200</f>
        <v>31723037500</v>
      </c>
      <c r="G269" s="192">
        <f>E269+F269</f>
        <v>90637250000</v>
      </c>
      <c r="H269" s="252" t="e">
        <f>G269/D269</f>
        <v>#DIV/0!</v>
      </c>
      <c r="I269" s="225"/>
      <c r="J269" s="297"/>
      <c r="K269" s="298"/>
    </row>
    <row r="270" spans="1:11" s="187" customFormat="1" x14ac:dyDescent="0.25">
      <c r="A270" s="184"/>
      <c r="B270" s="190"/>
      <c r="C270" s="193" t="s">
        <v>655</v>
      </c>
      <c r="D270" s="192"/>
      <c r="E270" s="181">
        <f>'Realisasi Nov'!G270</f>
        <v>2671269614</v>
      </c>
      <c r="F270" s="192"/>
      <c r="G270" s="192">
        <f t="shared" ref="G270" si="96">E270+F270</f>
        <v>2671269614</v>
      </c>
      <c r="H270" s="252" t="e">
        <f>G270/D270</f>
        <v>#DIV/0!</v>
      </c>
      <c r="I270" s="225"/>
      <c r="J270" s="297"/>
      <c r="K270" s="298"/>
    </row>
    <row r="271" spans="1:11" s="187" customFormat="1" x14ac:dyDescent="0.25">
      <c r="A271" s="184"/>
      <c r="B271" s="190"/>
      <c r="C271" s="193"/>
      <c r="D271" s="192"/>
      <c r="E271" s="181"/>
      <c r="F271" s="192"/>
      <c r="G271" s="192"/>
      <c r="H271" s="24"/>
      <c r="I271" s="225"/>
      <c r="J271" s="297"/>
      <c r="K271" s="298"/>
    </row>
    <row r="272" spans="1:11" s="187" customFormat="1" x14ac:dyDescent="0.25">
      <c r="A272" s="188" t="s">
        <v>410</v>
      </c>
      <c r="B272" s="189" t="s">
        <v>462</v>
      </c>
      <c r="C272" s="185" t="s">
        <v>463</v>
      </c>
      <c r="D272" s="191">
        <v>3994893000</v>
      </c>
      <c r="E272" s="196">
        <f>E273</f>
        <v>2596680450</v>
      </c>
      <c r="F272" s="196">
        <f t="shared" ref="F272:G272" si="97">F273</f>
        <v>1398212550</v>
      </c>
      <c r="G272" s="196">
        <f t="shared" si="97"/>
        <v>3994893000</v>
      </c>
      <c r="H272" s="236">
        <f>G272/D272</f>
        <v>1</v>
      </c>
      <c r="I272" s="225"/>
      <c r="J272" s="297"/>
      <c r="K272" s="298"/>
    </row>
    <row r="273" spans="1:11" s="187" customFormat="1" x14ac:dyDescent="0.25">
      <c r="A273" s="188"/>
      <c r="B273" s="190"/>
      <c r="C273" s="193" t="s">
        <v>656</v>
      </c>
      <c r="D273" s="192"/>
      <c r="E273" s="181">
        <f>'Realisasi Nov'!G273</f>
        <v>2596680450</v>
      </c>
      <c r="F273" s="192">
        <f>1375285450+22927100</f>
        <v>1398212550</v>
      </c>
      <c r="G273" s="192">
        <f>E273+F273</f>
        <v>3994893000</v>
      </c>
      <c r="H273" s="252" t="e">
        <f>G273/D273</f>
        <v>#DIV/0!</v>
      </c>
      <c r="I273" s="225"/>
      <c r="J273" s="297"/>
      <c r="K273" s="298"/>
    </row>
    <row r="274" spans="1:11" s="187" customFormat="1" x14ac:dyDescent="0.25">
      <c r="A274" s="188"/>
      <c r="B274" s="190"/>
      <c r="C274" s="193" t="s">
        <v>657</v>
      </c>
      <c r="D274" s="192"/>
      <c r="E274" s="181">
        <f>'Realisasi Nov'!G274</f>
        <v>0</v>
      </c>
      <c r="F274" s="192"/>
      <c r="G274" s="192">
        <f>E274+F274</f>
        <v>0</v>
      </c>
      <c r="H274" s="252" t="e">
        <f>G274/D274</f>
        <v>#DIV/0!</v>
      </c>
      <c r="I274" s="225"/>
      <c r="J274" s="297"/>
      <c r="K274" s="298"/>
    </row>
    <row r="275" spans="1:11" s="187" customFormat="1" x14ac:dyDescent="0.25">
      <c r="A275" s="188"/>
      <c r="B275" s="190"/>
      <c r="C275" s="193"/>
      <c r="D275" s="192"/>
      <c r="E275" s="181"/>
      <c r="F275" s="192"/>
      <c r="G275" s="192"/>
      <c r="H275" s="24"/>
      <c r="I275" s="225"/>
      <c r="J275" s="297"/>
      <c r="K275" s="298"/>
    </row>
    <row r="276" spans="1:11" s="187" customFormat="1" x14ac:dyDescent="0.25">
      <c r="A276" s="188" t="s">
        <v>411</v>
      </c>
      <c r="B276" s="189" t="s">
        <v>362</v>
      </c>
      <c r="C276" s="185" t="s">
        <v>363</v>
      </c>
      <c r="D276" s="191">
        <v>2892430000</v>
      </c>
      <c r="E276" s="196">
        <f>SUM(E277:E278)</f>
        <v>1880079500</v>
      </c>
      <c r="F276" s="196">
        <f t="shared" ref="F276:G276" si="98">F277</f>
        <v>1012350500</v>
      </c>
      <c r="G276" s="196">
        <f t="shared" si="98"/>
        <v>2892430000</v>
      </c>
      <c r="H276" s="236">
        <f>G276/D276</f>
        <v>1</v>
      </c>
      <c r="I276" s="225" t="s">
        <v>167</v>
      </c>
      <c r="J276" s="297"/>
      <c r="K276" s="298"/>
    </row>
    <row r="277" spans="1:11" s="187" customFormat="1" x14ac:dyDescent="0.25">
      <c r="A277" s="188"/>
      <c r="B277" s="190"/>
      <c r="C277" s="193" t="s">
        <v>658</v>
      </c>
      <c r="D277" s="192"/>
      <c r="E277" s="181">
        <f>'Realisasi Nov'!G277</f>
        <v>1880079500</v>
      </c>
      <c r="F277" s="192">
        <v>1012350500</v>
      </c>
      <c r="G277" s="192">
        <f>E277+F277</f>
        <v>2892430000</v>
      </c>
      <c r="H277" s="252" t="e">
        <f>G277/D277</f>
        <v>#DIV/0!</v>
      </c>
      <c r="I277" s="225"/>
      <c r="J277" s="297"/>
      <c r="K277" s="298"/>
    </row>
    <row r="278" spans="1:11" s="187" customFormat="1" x14ac:dyDescent="0.25">
      <c r="A278" s="188"/>
      <c r="B278" s="190"/>
      <c r="C278" s="193" t="s">
        <v>659</v>
      </c>
      <c r="D278" s="192"/>
      <c r="E278" s="181">
        <f>'Realisasi Nov'!G278</f>
        <v>0</v>
      </c>
      <c r="F278" s="192"/>
      <c r="G278" s="192">
        <f>E278+F278</f>
        <v>0</v>
      </c>
      <c r="H278" s="252" t="e">
        <f>G278/D278</f>
        <v>#DIV/0!</v>
      </c>
      <c r="I278" s="225"/>
      <c r="J278" s="297"/>
      <c r="K278" s="298"/>
    </row>
    <row r="279" spans="1:11" s="187" customFormat="1" x14ac:dyDescent="0.25">
      <c r="A279" s="188"/>
      <c r="B279" s="190"/>
      <c r="C279" s="193"/>
      <c r="D279" s="192"/>
      <c r="E279" s="181"/>
      <c r="F279" s="192"/>
      <c r="G279" s="192">
        <f t="shared" ref="G279" si="99">F279</f>
        <v>0</v>
      </c>
      <c r="H279" s="24"/>
      <c r="I279" s="225"/>
      <c r="J279" s="297"/>
      <c r="K279" s="298"/>
    </row>
    <row r="280" spans="1:11" s="187" customFormat="1" x14ac:dyDescent="0.25">
      <c r="A280" s="188" t="s">
        <v>412</v>
      </c>
      <c r="B280" s="189" t="s">
        <v>364</v>
      </c>
      <c r="C280" s="185" t="s">
        <v>365</v>
      </c>
      <c r="D280" s="191">
        <v>8409123000</v>
      </c>
      <c r="E280" s="196">
        <f>SUM(E281+E282)</f>
        <v>5465929950</v>
      </c>
      <c r="F280" s="196">
        <f t="shared" ref="F280:G280" si="100">F281</f>
        <v>2943193050</v>
      </c>
      <c r="G280" s="196">
        <f t="shared" si="100"/>
        <v>8409123000</v>
      </c>
      <c r="H280" s="236">
        <f>G280/D280</f>
        <v>1</v>
      </c>
      <c r="I280" s="225" t="s">
        <v>167</v>
      </c>
      <c r="J280" s="297"/>
      <c r="K280" s="298"/>
    </row>
    <row r="281" spans="1:11" s="187" customFormat="1" x14ac:dyDescent="0.25">
      <c r="A281" s="188"/>
      <c r="B281" s="190"/>
      <c r="C281" s="193" t="s">
        <v>660</v>
      </c>
      <c r="D281" s="192"/>
      <c r="E281" s="181">
        <f>'Realisasi Nov'!G281</f>
        <v>5465929950</v>
      </c>
      <c r="F281" s="192">
        <v>2943193050</v>
      </c>
      <c r="G281" s="192">
        <f>E281+F281</f>
        <v>8409123000</v>
      </c>
      <c r="H281" s="252" t="e">
        <f>G281/D281</f>
        <v>#DIV/0!</v>
      </c>
      <c r="I281" s="225"/>
      <c r="J281" s="297"/>
      <c r="K281" s="298"/>
    </row>
    <row r="282" spans="1:11" s="187" customFormat="1" x14ac:dyDescent="0.25">
      <c r="A282" s="188"/>
      <c r="B282" s="190"/>
      <c r="C282" s="35" t="s">
        <v>529</v>
      </c>
      <c r="D282" s="191"/>
      <c r="E282" s="181">
        <f>E283</f>
        <v>0</v>
      </c>
      <c r="F282" s="191">
        <f>SUM(F283:F283)</f>
        <v>0</v>
      </c>
      <c r="G282" s="192">
        <f t="shared" ref="G282:G283" si="101">E282+F282</f>
        <v>0</v>
      </c>
      <c r="H282" s="253" t="e">
        <f>G282/D282</f>
        <v>#DIV/0!</v>
      </c>
      <c r="I282" s="225"/>
      <c r="J282" s="297"/>
      <c r="K282" s="298"/>
    </row>
    <row r="283" spans="1:11" s="187" customFormat="1" x14ac:dyDescent="0.25">
      <c r="A283" s="188"/>
      <c r="B283" s="190"/>
      <c r="C283" s="193" t="s">
        <v>661</v>
      </c>
      <c r="D283" s="192"/>
      <c r="E283" s="181">
        <f>'Realisasi Nov'!G283</f>
        <v>0</v>
      </c>
      <c r="F283" s="192"/>
      <c r="G283" s="192">
        <f t="shared" si="101"/>
        <v>0</v>
      </c>
      <c r="H283" s="252" t="e">
        <f>G283/D283</f>
        <v>#DIV/0!</v>
      </c>
      <c r="I283" s="225"/>
      <c r="J283" s="297"/>
      <c r="K283" s="298"/>
    </row>
    <row r="284" spans="1:11" s="187" customFormat="1" x14ac:dyDescent="0.25">
      <c r="A284" s="188"/>
      <c r="B284" s="190"/>
      <c r="C284" s="193"/>
      <c r="D284" s="192"/>
      <c r="E284" s="181"/>
      <c r="F284" s="192"/>
      <c r="G284" s="192"/>
      <c r="H284" s="24"/>
      <c r="I284" s="225"/>
      <c r="J284" s="297"/>
      <c r="K284" s="298"/>
    </row>
    <row r="285" spans="1:11" s="187" customFormat="1" hidden="1" x14ac:dyDescent="0.25">
      <c r="A285" s="188" t="s">
        <v>464</v>
      </c>
      <c r="B285" s="189" t="s">
        <v>466</v>
      </c>
      <c r="C285" s="185" t="s">
        <v>467</v>
      </c>
      <c r="D285" s="191"/>
      <c r="E285" s="181" t="e">
        <f>'Realisasi Sept'!G285</f>
        <v>#REF!</v>
      </c>
      <c r="F285" s="191">
        <f t="shared" ref="F285:G285" si="102">SUM(F286:F287)</f>
        <v>0</v>
      </c>
      <c r="G285" s="191" t="e">
        <f t="shared" si="102"/>
        <v>#REF!</v>
      </c>
      <c r="H285" s="24"/>
      <c r="I285" s="225"/>
      <c r="J285" s="297"/>
      <c r="K285" s="298"/>
    </row>
    <row r="286" spans="1:11" s="187" customFormat="1" hidden="1" x14ac:dyDescent="0.25">
      <c r="A286" s="188"/>
      <c r="B286" s="190"/>
      <c r="C286" s="193" t="s">
        <v>487</v>
      </c>
      <c r="D286" s="192"/>
      <c r="E286" s="181" t="e">
        <f>'Realisasi Sept'!G286</f>
        <v>#REF!</v>
      </c>
      <c r="F286" s="192">
        <v>0</v>
      </c>
      <c r="G286" s="192" t="e">
        <f>#REF!+F286</f>
        <v>#REF!</v>
      </c>
      <c r="H286" s="24"/>
      <c r="I286" s="225"/>
      <c r="J286" s="297"/>
      <c r="K286" s="298"/>
    </row>
    <row r="287" spans="1:11" s="187" customFormat="1" hidden="1" x14ac:dyDescent="0.25">
      <c r="A287" s="188"/>
      <c r="B287" s="190"/>
      <c r="C287" s="193"/>
      <c r="D287" s="192"/>
      <c r="E287" s="181">
        <f>'Realisasi Sept'!G287</f>
        <v>0</v>
      </c>
      <c r="F287" s="192"/>
      <c r="G287" s="192"/>
      <c r="H287" s="24"/>
      <c r="I287" s="225"/>
      <c r="J287" s="297"/>
      <c r="K287" s="298"/>
    </row>
    <row r="288" spans="1:11" s="187" customFormat="1" x14ac:dyDescent="0.25">
      <c r="A288" s="188" t="s">
        <v>465</v>
      </c>
      <c r="B288" s="189" t="s">
        <v>366</v>
      </c>
      <c r="C288" s="185" t="s">
        <v>367</v>
      </c>
      <c r="D288" s="191">
        <v>1958311000</v>
      </c>
      <c r="E288" s="196">
        <f>SUM(E289)</f>
        <v>1272902150</v>
      </c>
      <c r="F288" s="196">
        <f t="shared" ref="F288:G288" si="103">F289</f>
        <v>685408850</v>
      </c>
      <c r="G288" s="196">
        <f t="shared" si="103"/>
        <v>1958311000</v>
      </c>
      <c r="H288" s="236">
        <f>G288/D288</f>
        <v>1</v>
      </c>
      <c r="I288" s="225" t="s">
        <v>167</v>
      </c>
      <c r="J288" s="297"/>
      <c r="K288" s="298"/>
    </row>
    <row r="289" spans="1:11" s="187" customFormat="1" x14ac:dyDescent="0.25">
      <c r="A289" s="188"/>
      <c r="B289" s="190"/>
      <c r="C289" s="193" t="s">
        <v>662</v>
      </c>
      <c r="D289" s="192"/>
      <c r="E289" s="181">
        <f>'Realisasi Nov'!G289</f>
        <v>1272902150</v>
      </c>
      <c r="F289" s="192">
        <v>685408850</v>
      </c>
      <c r="G289" s="192">
        <f>E289+F289</f>
        <v>1958311000</v>
      </c>
      <c r="H289" s="252" t="e">
        <f>G289/D289</f>
        <v>#DIV/0!</v>
      </c>
      <c r="I289" s="225"/>
      <c r="J289" s="297"/>
      <c r="K289" s="298"/>
    </row>
    <row r="290" spans="1:11" s="187" customFormat="1" x14ac:dyDescent="0.25">
      <c r="A290" s="188"/>
      <c r="B290" s="190"/>
      <c r="C290" s="35" t="s">
        <v>530</v>
      </c>
      <c r="D290" s="191"/>
      <c r="E290" s="181">
        <f>'Realisasi Sept'!G290</f>
        <v>0</v>
      </c>
      <c r="F290" s="191">
        <f>SUM(F291:F291)</f>
        <v>0</v>
      </c>
      <c r="G290" s="191">
        <f>SUM(G291:G291)</f>
        <v>0</v>
      </c>
      <c r="H290" s="253" t="e">
        <f>G290/D290</f>
        <v>#DIV/0!</v>
      </c>
      <c r="I290" s="225"/>
      <c r="J290" s="297"/>
      <c r="K290" s="298"/>
    </row>
    <row r="291" spans="1:11" s="187" customFormat="1" x14ac:dyDescent="0.25">
      <c r="A291" s="188"/>
      <c r="B291" s="190"/>
      <c r="C291" s="193" t="s">
        <v>663</v>
      </c>
      <c r="D291" s="192"/>
      <c r="E291" s="181">
        <f>'Realisasi Sept'!G291</f>
        <v>0</v>
      </c>
      <c r="F291" s="192"/>
      <c r="G291" s="192">
        <f>E291+F291</f>
        <v>0</v>
      </c>
      <c r="H291" s="252" t="e">
        <f>G291/D291</f>
        <v>#DIV/0!</v>
      </c>
      <c r="I291" s="225"/>
      <c r="J291" s="297"/>
      <c r="K291" s="298"/>
    </row>
    <row r="292" spans="1:11" s="176" customFormat="1" x14ac:dyDescent="0.25">
      <c r="A292" s="27"/>
      <c r="B292" s="178"/>
      <c r="C292" s="183"/>
      <c r="D292" s="192"/>
      <c r="E292" s="192"/>
      <c r="F292" s="192"/>
      <c r="G292" s="191"/>
      <c r="H292" s="236"/>
      <c r="I292" s="224"/>
      <c r="J292" s="294"/>
      <c r="K292" s="295"/>
    </row>
    <row r="293" spans="1:11" s="176" customFormat="1" x14ac:dyDescent="0.25">
      <c r="A293" s="138" t="s">
        <v>169</v>
      </c>
      <c r="B293" s="139" t="s">
        <v>368</v>
      </c>
      <c r="C293" s="140" t="s">
        <v>369</v>
      </c>
      <c r="D293" s="142">
        <v>429554051000</v>
      </c>
      <c r="E293" s="142">
        <f>'Realisasi Nov'!G293</f>
        <v>427742257138</v>
      </c>
      <c r="F293" s="142"/>
      <c r="G293" s="141">
        <f>E293+F293</f>
        <v>427742257138</v>
      </c>
      <c r="H293" s="240">
        <f>G293/D293</f>
        <v>0.99578215161099715</v>
      </c>
      <c r="I293" s="225" t="s">
        <v>468</v>
      </c>
      <c r="J293" s="294"/>
      <c r="K293" s="295"/>
    </row>
    <row r="294" spans="1:11" s="176" customFormat="1" x14ac:dyDescent="0.25">
      <c r="A294" s="27"/>
      <c r="B294" s="178"/>
      <c r="C294" s="39"/>
      <c r="D294" s="38"/>
      <c r="E294" s="38"/>
      <c r="F294" s="38"/>
      <c r="G294" s="38"/>
      <c r="H294" s="241"/>
      <c r="I294" s="225"/>
      <c r="J294" s="294"/>
      <c r="K294" s="295"/>
    </row>
    <row r="295" spans="1:11" s="176" customFormat="1" x14ac:dyDescent="0.25">
      <c r="A295" s="138" t="s">
        <v>170</v>
      </c>
      <c r="B295" s="139" t="s">
        <v>370</v>
      </c>
      <c r="C295" s="140" t="s">
        <v>371</v>
      </c>
      <c r="D295" s="141">
        <f>SUM(D297+D350+D327)</f>
        <v>62721068973</v>
      </c>
      <c r="E295" s="141">
        <f t="shared" ref="E295:G295" si="104">SUM(E297+E350+E327)</f>
        <v>56551642479</v>
      </c>
      <c r="F295" s="141">
        <f t="shared" si="104"/>
        <v>4837505009</v>
      </c>
      <c r="G295" s="141">
        <f t="shared" si="104"/>
        <v>61389147488</v>
      </c>
      <c r="H295" s="240">
        <f>G295/D295</f>
        <v>0.97876436886665052</v>
      </c>
      <c r="I295" s="225" t="s">
        <v>469</v>
      </c>
      <c r="J295" s="294"/>
      <c r="K295" s="295"/>
    </row>
    <row r="296" spans="1:11" s="176" customFormat="1" x14ac:dyDescent="0.25">
      <c r="A296" s="40"/>
      <c r="B296" s="22"/>
      <c r="C296" s="185"/>
      <c r="D296" s="191"/>
      <c r="E296" s="191"/>
      <c r="F296" s="191"/>
      <c r="G296" s="191"/>
      <c r="H296" s="236"/>
      <c r="I296" s="224"/>
      <c r="J296" s="294"/>
      <c r="K296" s="295"/>
    </row>
    <row r="297" spans="1:11" s="176" customFormat="1" ht="38.25" customHeight="1" x14ac:dyDescent="0.25">
      <c r="A297" s="293"/>
      <c r="B297" s="262" t="s">
        <v>413</v>
      </c>
      <c r="C297" s="41" t="s">
        <v>171</v>
      </c>
      <c r="D297" s="42">
        <f>SUM(D304+D311+D313+D315+D317+D319+D321+D298+D324)</f>
        <v>62721068973</v>
      </c>
      <c r="E297" s="42">
        <f>E298+E304+E315+E317+E321+E324</f>
        <v>56551642479</v>
      </c>
      <c r="F297" s="42">
        <f t="shared" ref="F297:G297" si="105">F298+F304+F315+F317+F321+F324</f>
        <v>4837505009</v>
      </c>
      <c r="G297" s="42">
        <f t="shared" si="105"/>
        <v>61389147488</v>
      </c>
      <c r="H297" s="237">
        <f t="shared" ref="H297:H320" si="106">G297/D297</f>
        <v>0.97876436886665052</v>
      </c>
      <c r="I297" s="225" t="s">
        <v>470</v>
      </c>
      <c r="J297" s="294"/>
      <c r="K297" s="295"/>
    </row>
    <row r="298" spans="1:11" s="176" customFormat="1" x14ac:dyDescent="0.25">
      <c r="A298" s="40"/>
      <c r="B298" s="43">
        <v>1</v>
      </c>
      <c r="C298" s="185" t="s">
        <v>172</v>
      </c>
      <c r="D298" s="191">
        <f>SUM(D299:D303)</f>
        <v>23287427000</v>
      </c>
      <c r="E298" s="191">
        <f>SUM(E299:E303)</f>
        <v>23193344900</v>
      </c>
      <c r="F298" s="191">
        <f t="shared" ref="F298:G298" si="107">SUM(F299:F303)</f>
        <v>0</v>
      </c>
      <c r="G298" s="191">
        <f t="shared" si="107"/>
        <v>23193344900</v>
      </c>
      <c r="H298" s="236">
        <f t="shared" si="106"/>
        <v>0.99595996157067934</v>
      </c>
      <c r="I298" s="225"/>
      <c r="J298" s="294"/>
      <c r="K298" s="295"/>
    </row>
    <row r="299" spans="1:11" s="176" customFormat="1" x14ac:dyDescent="0.25">
      <c r="A299" s="40"/>
      <c r="B299" s="190" t="s">
        <v>531</v>
      </c>
      <c r="C299" s="193" t="s">
        <v>173</v>
      </c>
      <c r="D299" s="192">
        <v>1376396000</v>
      </c>
      <c r="E299" s="192">
        <f>'Realisasi Nov'!G299</f>
        <v>1374823000</v>
      </c>
      <c r="F299" s="192"/>
      <c r="G299" s="192">
        <f>E299+F299</f>
        <v>1374823000</v>
      </c>
      <c r="H299" s="24">
        <f t="shared" si="106"/>
        <v>0.99885716029398519</v>
      </c>
      <c r="I299" s="225" t="s">
        <v>471</v>
      </c>
      <c r="J299" s="294"/>
      <c r="K299" s="295"/>
    </row>
    <row r="300" spans="1:11" s="176" customFormat="1" x14ac:dyDescent="0.25">
      <c r="A300" s="40"/>
      <c r="B300" s="190" t="s">
        <v>532</v>
      </c>
      <c r="C300" s="193" t="s">
        <v>174</v>
      </c>
      <c r="D300" s="192">
        <v>10775078000</v>
      </c>
      <c r="E300" s="192">
        <f>'Realisasi Nov'!G300</f>
        <v>10715841000</v>
      </c>
      <c r="F300" s="192"/>
      <c r="G300" s="192">
        <f t="shared" ref="G300:G303" si="108">E300+F300</f>
        <v>10715841000</v>
      </c>
      <c r="H300" s="24">
        <f t="shared" si="106"/>
        <v>0.9945024063862925</v>
      </c>
      <c r="I300" s="225" t="s">
        <v>471</v>
      </c>
      <c r="J300" s="294"/>
      <c r="K300" s="295"/>
    </row>
    <row r="301" spans="1:11" s="176" customFormat="1" x14ac:dyDescent="0.25">
      <c r="A301" s="40"/>
      <c r="B301" s="190" t="s">
        <v>533</v>
      </c>
      <c r="C301" s="193" t="s">
        <v>175</v>
      </c>
      <c r="D301" s="192">
        <v>10360454000</v>
      </c>
      <c r="E301" s="192">
        <f>'Realisasi Nov'!G301</f>
        <v>10329665000</v>
      </c>
      <c r="F301" s="192"/>
      <c r="G301" s="192">
        <f t="shared" si="108"/>
        <v>10329665000</v>
      </c>
      <c r="H301" s="24">
        <f t="shared" si="106"/>
        <v>0.99702821903364469</v>
      </c>
      <c r="I301" s="225" t="s">
        <v>471</v>
      </c>
      <c r="J301" s="294"/>
      <c r="K301" s="295"/>
    </row>
    <row r="302" spans="1:11" s="176" customFormat="1" x14ac:dyDescent="0.25">
      <c r="A302" s="40"/>
      <c r="B302" s="190"/>
      <c r="C302" s="193" t="s">
        <v>684</v>
      </c>
      <c r="D302" s="192">
        <v>470885000</v>
      </c>
      <c r="E302" s="192">
        <f>'Realisasi Nov'!G302</f>
        <v>470885000</v>
      </c>
      <c r="F302" s="192"/>
      <c r="G302" s="192">
        <f t="shared" si="108"/>
        <v>470885000</v>
      </c>
      <c r="H302" s="24">
        <f t="shared" si="106"/>
        <v>1</v>
      </c>
      <c r="I302" s="225"/>
      <c r="J302" s="294"/>
      <c r="K302" s="295"/>
    </row>
    <row r="303" spans="1:11" s="176" customFormat="1" x14ac:dyDescent="0.25">
      <c r="A303" s="40"/>
      <c r="B303" s="190" t="s">
        <v>534</v>
      </c>
      <c r="C303" s="193" t="s">
        <v>176</v>
      </c>
      <c r="D303" s="192">
        <v>304614000</v>
      </c>
      <c r="E303" s="192">
        <f>'Realisasi Nov'!G303</f>
        <v>302130900</v>
      </c>
      <c r="F303" s="192"/>
      <c r="G303" s="192">
        <f t="shared" si="108"/>
        <v>302130900</v>
      </c>
      <c r="H303" s="24">
        <f t="shared" si="106"/>
        <v>0.99184837203805476</v>
      </c>
      <c r="I303" s="225" t="s">
        <v>471</v>
      </c>
      <c r="J303" s="294"/>
      <c r="K303" s="295"/>
    </row>
    <row r="304" spans="1:11" s="176" customFormat="1" x14ac:dyDescent="0.25">
      <c r="A304" s="40"/>
      <c r="B304" s="43">
        <v>2</v>
      </c>
      <c r="C304" s="185" t="s">
        <v>177</v>
      </c>
      <c r="D304" s="191">
        <f>SUM(D305:D310)</f>
        <v>21101016973</v>
      </c>
      <c r="E304" s="191">
        <f t="shared" ref="E304:G304" si="109">SUM(E305:E310)</f>
        <v>18337473579</v>
      </c>
      <c r="F304" s="191">
        <f t="shared" si="109"/>
        <v>1687845004</v>
      </c>
      <c r="G304" s="191">
        <f t="shared" si="109"/>
        <v>20025318583</v>
      </c>
      <c r="H304" s="236">
        <f t="shared" si="106"/>
        <v>0.94902149069988329</v>
      </c>
      <c r="I304" s="225"/>
      <c r="J304" s="294"/>
      <c r="K304" s="295"/>
    </row>
    <row r="305" spans="1:11" s="176" customFormat="1" x14ac:dyDescent="0.25">
      <c r="A305" s="40"/>
      <c r="B305" s="190" t="s">
        <v>535</v>
      </c>
      <c r="C305" s="193" t="s">
        <v>178</v>
      </c>
      <c r="D305" s="192"/>
      <c r="E305" s="192">
        <f>'Realisasi Nov'!G305</f>
        <v>0</v>
      </c>
      <c r="F305" s="192"/>
      <c r="G305" s="192">
        <f>E305+F305</f>
        <v>0</v>
      </c>
      <c r="H305" s="252" t="e">
        <f t="shared" si="106"/>
        <v>#DIV/0!</v>
      </c>
      <c r="I305" s="225" t="s">
        <v>471</v>
      </c>
      <c r="J305" s="294"/>
      <c r="K305" s="295"/>
    </row>
    <row r="306" spans="1:11" s="176" customFormat="1" x14ac:dyDescent="0.25">
      <c r="A306" s="40"/>
      <c r="B306" s="190" t="s">
        <v>536</v>
      </c>
      <c r="C306" s="193" t="s">
        <v>372</v>
      </c>
      <c r="D306" s="192"/>
      <c r="E306" s="192">
        <f>'Realisasi Nov'!G306</f>
        <v>0</v>
      </c>
      <c r="F306" s="192"/>
      <c r="G306" s="192">
        <f t="shared" ref="G306:G318" si="110">E306+F306</f>
        <v>0</v>
      </c>
      <c r="H306" s="252" t="e">
        <f t="shared" si="106"/>
        <v>#DIV/0!</v>
      </c>
      <c r="I306" s="225" t="s">
        <v>471</v>
      </c>
      <c r="J306" s="294"/>
      <c r="K306" s="295"/>
    </row>
    <row r="307" spans="1:11" s="176" customFormat="1" x14ac:dyDescent="0.25">
      <c r="A307" s="40"/>
      <c r="B307" s="190" t="s">
        <v>537</v>
      </c>
      <c r="C307" s="193" t="s">
        <v>179</v>
      </c>
      <c r="D307" s="192">
        <v>2892701000</v>
      </c>
      <c r="E307" s="192">
        <f>'Realisasi Nov'!G307</f>
        <v>2434912031</v>
      </c>
      <c r="F307" s="192">
        <f>146524300+211869904</f>
        <v>358394204</v>
      </c>
      <c r="G307" s="192">
        <f t="shared" si="110"/>
        <v>2793306235</v>
      </c>
      <c r="H307" s="24">
        <f t="shared" si="106"/>
        <v>0.96563946118178134</v>
      </c>
      <c r="I307" s="225" t="s">
        <v>471</v>
      </c>
      <c r="J307" s="294"/>
      <c r="K307" s="295"/>
    </row>
    <row r="308" spans="1:11" s="176" customFormat="1" x14ac:dyDescent="0.25">
      <c r="A308" s="40"/>
      <c r="B308" s="190" t="s">
        <v>538</v>
      </c>
      <c r="C308" s="193" t="s">
        <v>180</v>
      </c>
      <c r="D308" s="192">
        <v>12902970863</v>
      </c>
      <c r="E308" s="192">
        <f>'Realisasi Nov'!G308</f>
        <v>10855643440</v>
      </c>
      <c r="F308" s="192">
        <v>1302847800</v>
      </c>
      <c r="G308" s="192">
        <f t="shared" si="110"/>
        <v>12158491240</v>
      </c>
      <c r="H308" s="24">
        <f t="shared" si="106"/>
        <v>0.9423016892074958</v>
      </c>
      <c r="I308" s="225" t="s">
        <v>471</v>
      </c>
      <c r="J308" s="294"/>
      <c r="K308" s="295"/>
    </row>
    <row r="309" spans="1:11" s="176" customFormat="1" x14ac:dyDescent="0.25">
      <c r="A309" s="40"/>
      <c r="B309" s="190" t="s">
        <v>373</v>
      </c>
      <c r="C309" s="193" t="s">
        <v>181</v>
      </c>
      <c r="D309" s="192">
        <v>1124477000</v>
      </c>
      <c r="E309" s="192">
        <f>'Realisasi Nov'!G309</f>
        <v>1081330000</v>
      </c>
      <c r="F309" s="192">
        <v>26603000</v>
      </c>
      <c r="G309" s="192">
        <f t="shared" si="110"/>
        <v>1107933000</v>
      </c>
      <c r="H309" s="24">
        <f t="shared" si="106"/>
        <v>0.98528738248981529</v>
      </c>
      <c r="I309" s="225" t="s">
        <v>471</v>
      </c>
      <c r="J309" s="294"/>
      <c r="K309" s="295"/>
    </row>
    <row r="310" spans="1:11" s="176" customFormat="1" x14ac:dyDescent="0.25">
      <c r="A310" s="40"/>
      <c r="B310" s="190"/>
      <c r="C310" s="193" t="s">
        <v>706</v>
      </c>
      <c r="D310" s="192">
        <v>4180868110</v>
      </c>
      <c r="E310" s="192">
        <f>'Realisasi Nov'!G310</f>
        <v>3965588108</v>
      </c>
      <c r="F310" s="192"/>
      <c r="G310" s="192">
        <f t="shared" si="110"/>
        <v>3965588108</v>
      </c>
      <c r="H310" s="24">
        <f t="shared" si="106"/>
        <v>0.94850830106668926</v>
      </c>
      <c r="I310" s="225"/>
      <c r="J310" s="294"/>
      <c r="K310" s="295"/>
    </row>
    <row r="311" spans="1:11" s="176" customFormat="1" x14ac:dyDescent="0.25">
      <c r="A311" s="40"/>
      <c r="B311" s="43">
        <v>3</v>
      </c>
      <c r="C311" s="185" t="s">
        <v>182</v>
      </c>
      <c r="D311" s="191">
        <f>SUM(D312:D312)</f>
        <v>0</v>
      </c>
      <c r="E311" s="192">
        <f>'Realisasi Nov'!G311</f>
        <v>0</v>
      </c>
      <c r="F311" s="191"/>
      <c r="G311" s="192">
        <f t="shared" si="110"/>
        <v>0</v>
      </c>
      <c r="H311" s="252" t="e">
        <f t="shared" si="106"/>
        <v>#DIV/0!</v>
      </c>
      <c r="I311" s="224"/>
      <c r="J311" s="294"/>
      <c r="K311" s="295"/>
    </row>
    <row r="312" spans="1:11" s="176" customFormat="1" x14ac:dyDescent="0.25">
      <c r="A312" s="40"/>
      <c r="B312" s="44"/>
      <c r="C312" s="193" t="s">
        <v>183</v>
      </c>
      <c r="D312" s="192">
        <v>0</v>
      </c>
      <c r="E312" s="192">
        <f>'Realisasi Nov'!G312</f>
        <v>0</v>
      </c>
      <c r="F312" s="192"/>
      <c r="G312" s="192">
        <f t="shared" si="110"/>
        <v>0</v>
      </c>
      <c r="H312" s="252" t="e">
        <f t="shared" si="106"/>
        <v>#DIV/0!</v>
      </c>
      <c r="I312" s="223"/>
      <c r="J312" s="294"/>
      <c r="K312" s="295"/>
    </row>
    <row r="313" spans="1:11" s="176" customFormat="1" x14ac:dyDescent="0.25">
      <c r="A313" s="40"/>
      <c r="B313" s="43">
        <v>4</v>
      </c>
      <c r="C313" s="185" t="s">
        <v>184</v>
      </c>
      <c r="D313" s="191">
        <f>SUM(D314:D314)</f>
        <v>0</v>
      </c>
      <c r="E313" s="192">
        <f>'Realisasi Nov'!G313</f>
        <v>0</v>
      </c>
      <c r="F313" s="191"/>
      <c r="G313" s="192">
        <f t="shared" si="110"/>
        <v>0</v>
      </c>
      <c r="H313" s="252" t="e">
        <f t="shared" si="106"/>
        <v>#DIV/0!</v>
      </c>
      <c r="I313" s="223"/>
      <c r="J313" s="294"/>
      <c r="K313" s="295"/>
    </row>
    <row r="314" spans="1:11" s="176" customFormat="1" x14ac:dyDescent="0.25">
      <c r="A314" s="40"/>
      <c r="B314" s="44"/>
      <c r="C314" s="193" t="s">
        <v>185</v>
      </c>
      <c r="D314" s="192">
        <v>0</v>
      </c>
      <c r="E314" s="192">
        <f>'Realisasi Nov'!G314</f>
        <v>0</v>
      </c>
      <c r="F314" s="192"/>
      <c r="G314" s="192">
        <f t="shared" si="110"/>
        <v>0</v>
      </c>
      <c r="H314" s="252" t="e">
        <f t="shared" si="106"/>
        <v>#DIV/0!</v>
      </c>
      <c r="I314" s="223"/>
      <c r="J314" s="294"/>
      <c r="K314" s="295"/>
    </row>
    <row r="315" spans="1:11" s="176" customFormat="1" x14ac:dyDescent="0.25">
      <c r="A315" s="40"/>
      <c r="B315" s="43">
        <v>3</v>
      </c>
      <c r="C315" s="35" t="s">
        <v>186</v>
      </c>
      <c r="D315" s="191">
        <f>SUM(D316:D316)</f>
        <v>4803838000</v>
      </c>
      <c r="E315" s="191">
        <f>'Realisasi Nov'!G315</f>
        <v>3362686600</v>
      </c>
      <c r="F315" s="191">
        <f t="shared" ref="F315:G315" si="111">SUM(F316:F316)</f>
        <v>1413113400</v>
      </c>
      <c r="G315" s="191">
        <f t="shared" si="111"/>
        <v>4775800000</v>
      </c>
      <c r="H315" s="236">
        <f t="shared" si="106"/>
        <v>0.99416341683462262</v>
      </c>
      <c r="I315" s="223"/>
      <c r="J315" s="294"/>
      <c r="K315" s="295"/>
    </row>
    <row r="316" spans="1:11" s="176" customFormat="1" x14ac:dyDescent="0.25">
      <c r="A316" s="40"/>
      <c r="B316" s="190" t="s">
        <v>374</v>
      </c>
      <c r="C316" s="193" t="s">
        <v>187</v>
      </c>
      <c r="D316" s="192">
        <v>4803838000</v>
      </c>
      <c r="E316" s="192">
        <f>'Realisasi Nov'!G316</f>
        <v>3362686600</v>
      </c>
      <c r="F316" s="192">
        <v>1413113400</v>
      </c>
      <c r="G316" s="192">
        <f t="shared" si="110"/>
        <v>4775800000</v>
      </c>
      <c r="H316" s="24">
        <f t="shared" si="106"/>
        <v>0.99416341683462262</v>
      </c>
      <c r="I316" s="225"/>
      <c r="J316" s="294"/>
      <c r="K316" s="295"/>
    </row>
    <row r="317" spans="1:11" s="176" customFormat="1" x14ac:dyDescent="0.25">
      <c r="A317" s="40"/>
      <c r="B317" s="43">
        <v>4</v>
      </c>
      <c r="C317" s="185" t="s">
        <v>188</v>
      </c>
      <c r="D317" s="191">
        <f>SUM(D318)</f>
        <v>6188582000</v>
      </c>
      <c r="E317" s="191">
        <f>'Realisasi Nov'!G317</f>
        <v>4332007400</v>
      </c>
      <c r="F317" s="191">
        <f t="shared" ref="F317:G317" si="112">SUM(F318)</f>
        <v>1736546605</v>
      </c>
      <c r="G317" s="191">
        <f t="shared" si="112"/>
        <v>6068554005</v>
      </c>
      <c r="H317" s="236">
        <f t="shared" si="106"/>
        <v>0.9806049277524318</v>
      </c>
      <c r="I317" s="223"/>
      <c r="J317" s="294"/>
      <c r="K317" s="295"/>
    </row>
    <row r="318" spans="1:11" s="176" customFormat="1" x14ac:dyDescent="0.25">
      <c r="A318" s="40"/>
      <c r="B318" s="190" t="s">
        <v>375</v>
      </c>
      <c r="C318" s="193" t="s">
        <v>189</v>
      </c>
      <c r="D318" s="192">
        <v>6188582000</v>
      </c>
      <c r="E318" s="192">
        <f>'Realisasi Nov'!G318</f>
        <v>4332007400</v>
      </c>
      <c r="F318" s="192">
        <v>1736546605</v>
      </c>
      <c r="G318" s="192">
        <f t="shared" si="110"/>
        <v>6068554005</v>
      </c>
      <c r="H318" s="24">
        <f t="shared" si="106"/>
        <v>0.9806049277524318</v>
      </c>
      <c r="I318" s="225"/>
      <c r="J318" s="294"/>
      <c r="K318" s="295"/>
    </row>
    <row r="319" spans="1:11" s="176" customFormat="1" hidden="1" x14ac:dyDescent="0.25">
      <c r="A319" s="40"/>
      <c r="B319" s="43">
        <v>5</v>
      </c>
      <c r="C319" s="185" t="s">
        <v>190</v>
      </c>
      <c r="D319" s="191">
        <f>SUM(D320)</f>
        <v>0</v>
      </c>
      <c r="E319" s="192" t="e">
        <f>'Realisasi Nov'!G319</f>
        <v>#REF!</v>
      </c>
      <c r="F319" s="191">
        <f>SUM(F320)</f>
        <v>0</v>
      </c>
      <c r="G319" s="192" t="e">
        <f>#REF!+F319</f>
        <v>#REF!</v>
      </c>
      <c r="H319" s="24" t="e">
        <f t="shared" si="106"/>
        <v>#REF!</v>
      </c>
      <c r="I319" s="224"/>
      <c r="J319" s="294"/>
      <c r="K319" s="295"/>
    </row>
    <row r="320" spans="1:11" s="176" customFormat="1" hidden="1" x14ac:dyDescent="0.25">
      <c r="A320" s="40"/>
      <c r="B320" s="44"/>
      <c r="C320" s="193" t="s">
        <v>191</v>
      </c>
      <c r="D320" s="192">
        <v>0</v>
      </c>
      <c r="E320" s="192" t="e">
        <f>'Realisasi Nov'!G320</f>
        <v>#REF!</v>
      </c>
      <c r="F320" s="192">
        <v>0</v>
      </c>
      <c r="G320" s="192" t="e">
        <f>#REF!+F320</f>
        <v>#REF!</v>
      </c>
      <c r="H320" s="24" t="e">
        <f t="shared" si="106"/>
        <v>#REF!</v>
      </c>
      <c r="I320" s="223"/>
      <c r="J320" s="294"/>
      <c r="K320" s="295"/>
    </row>
    <row r="321" spans="1:11" s="176" customFormat="1" x14ac:dyDescent="0.25">
      <c r="A321" s="40"/>
      <c r="B321" s="43">
        <v>5</v>
      </c>
      <c r="C321" s="185" t="s">
        <v>192</v>
      </c>
      <c r="D321" s="191">
        <f>SUM(D322:D323)</f>
        <v>0</v>
      </c>
      <c r="E321" s="192">
        <f>'Realisasi Nov'!G321</f>
        <v>0</v>
      </c>
      <c r="F321" s="191">
        <f t="shared" ref="F321:G321" si="113">SUM(F322:F323)</f>
        <v>0</v>
      </c>
      <c r="G321" s="191">
        <f t="shared" si="113"/>
        <v>0</v>
      </c>
      <c r="H321" s="253" t="e">
        <f>G321/D321</f>
        <v>#DIV/0!</v>
      </c>
      <c r="I321" s="223"/>
      <c r="J321" s="294"/>
      <c r="K321" s="295"/>
    </row>
    <row r="322" spans="1:11" s="176" customFormat="1" x14ac:dyDescent="0.25">
      <c r="A322" s="40"/>
      <c r="B322" s="190" t="s">
        <v>539</v>
      </c>
      <c r="C322" s="193" t="s">
        <v>193</v>
      </c>
      <c r="D322" s="192"/>
      <c r="E322" s="192">
        <f>'Realisasi Nov'!G322</f>
        <v>0</v>
      </c>
      <c r="F322" s="192"/>
      <c r="G322" s="192">
        <f>E322+F322</f>
        <v>0</v>
      </c>
      <c r="H322" s="252" t="e">
        <f>G322/D322</f>
        <v>#DIV/0!</v>
      </c>
      <c r="I322" s="225" t="s">
        <v>470</v>
      </c>
      <c r="J322" s="294"/>
      <c r="K322" s="295"/>
    </row>
    <row r="323" spans="1:11" s="176" customFormat="1" x14ac:dyDescent="0.25">
      <c r="A323" s="40"/>
      <c r="B323" s="190" t="s">
        <v>540</v>
      </c>
      <c r="C323" s="193" t="s">
        <v>194</v>
      </c>
      <c r="D323" s="192"/>
      <c r="E323" s="192">
        <f>'Realisasi Nov'!G323</f>
        <v>0</v>
      </c>
      <c r="F323" s="192"/>
      <c r="G323" s="192">
        <f>E323+F323</f>
        <v>0</v>
      </c>
      <c r="H323" s="252" t="e">
        <f>G323/D323</f>
        <v>#DIV/0!</v>
      </c>
      <c r="I323" s="225" t="s">
        <v>470</v>
      </c>
      <c r="J323" s="294"/>
      <c r="K323" s="295"/>
    </row>
    <row r="324" spans="1:11" s="176" customFormat="1" x14ac:dyDescent="0.25">
      <c r="A324" s="40"/>
      <c r="B324" s="43">
        <v>6</v>
      </c>
      <c r="C324" s="170" t="s">
        <v>206</v>
      </c>
      <c r="D324" s="191">
        <f>D325</f>
        <v>7340205000</v>
      </c>
      <c r="E324" s="191">
        <f>'Realisasi Nov'!G324</f>
        <v>7326130000</v>
      </c>
      <c r="F324" s="191">
        <f t="shared" ref="F324:G324" si="114">F325</f>
        <v>0</v>
      </c>
      <c r="G324" s="191">
        <f t="shared" si="114"/>
        <v>7326130000</v>
      </c>
      <c r="H324" s="236">
        <f>G324/D324</f>
        <v>0.99808247862287225</v>
      </c>
      <c r="I324" s="225"/>
      <c r="J324" s="294"/>
      <c r="K324" s="295"/>
    </row>
    <row r="325" spans="1:11" s="176" customFormat="1" x14ac:dyDescent="0.25">
      <c r="A325" s="40"/>
      <c r="B325" s="190"/>
      <c r="C325" s="48" t="s">
        <v>210</v>
      </c>
      <c r="D325" s="192">
        <v>7340205000</v>
      </c>
      <c r="E325" s="192">
        <f>'Realisasi Nov'!G325</f>
        <v>7326130000</v>
      </c>
      <c r="F325" s="192"/>
      <c r="G325" s="192">
        <f>E325+F325</f>
        <v>7326130000</v>
      </c>
      <c r="H325" s="24">
        <f>G325/D325</f>
        <v>0.99808247862287225</v>
      </c>
      <c r="I325" s="225"/>
      <c r="J325" s="294"/>
      <c r="K325" s="295"/>
    </row>
    <row r="326" spans="1:11" s="176" customFormat="1" x14ac:dyDescent="0.25">
      <c r="A326" s="40"/>
      <c r="B326" s="178"/>
      <c r="C326" s="183"/>
      <c r="D326" s="192"/>
      <c r="E326" s="192"/>
      <c r="F326" s="192"/>
      <c r="G326" s="191"/>
      <c r="H326" s="236"/>
      <c r="I326" s="224"/>
      <c r="J326" s="294"/>
      <c r="K326" s="295"/>
    </row>
    <row r="327" spans="1:11" s="176" customFormat="1" ht="37.5" hidden="1" customHeight="1" x14ac:dyDescent="0.25">
      <c r="A327" s="293"/>
      <c r="B327" s="262" t="s">
        <v>414</v>
      </c>
      <c r="C327" s="45" t="s">
        <v>195</v>
      </c>
      <c r="D327" s="42">
        <f>SUM(D328+D337+D339+D341+D343+D345+D347)</f>
        <v>0</v>
      </c>
      <c r="E327" s="42">
        <f t="shared" ref="E327:G327" si="115">SUM(E328+E337+E339+E341+E343+E345+E347)</f>
        <v>0</v>
      </c>
      <c r="F327" s="42">
        <f t="shared" si="115"/>
        <v>0</v>
      </c>
      <c r="G327" s="42">
        <f t="shared" si="115"/>
        <v>0</v>
      </c>
      <c r="H327" s="237" t="e">
        <f>G327/D327</f>
        <v>#DIV/0!</v>
      </c>
      <c r="I327" s="225" t="s">
        <v>469</v>
      </c>
      <c r="J327" s="294"/>
      <c r="K327" s="295"/>
    </row>
    <row r="328" spans="1:11" s="176" customFormat="1" hidden="1" x14ac:dyDescent="0.25">
      <c r="A328" s="40"/>
      <c r="B328" s="43">
        <v>1</v>
      </c>
      <c r="C328" s="185" t="s">
        <v>177</v>
      </c>
      <c r="D328" s="191">
        <f>SUM(D330:D335)</f>
        <v>0</v>
      </c>
      <c r="E328" s="191">
        <f t="shared" ref="E328:G328" si="116">SUM(E330:E335)</f>
        <v>0</v>
      </c>
      <c r="F328" s="191">
        <f t="shared" si="116"/>
        <v>0</v>
      </c>
      <c r="G328" s="191">
        <f t="shared" si="116"/>
        <v>0</v>
      </c>
      <c r="H328" s="236" t="e">
        <f>G328/D328</f>
        <v>#DIV/0!</v>
      </c>
      <c r="I328" s="225"/>
      <c r="J328" s="294"/>
      <c r="K328" s="295"/>
    </row>
    <row r="329" spans="1:11" s="176" customFormat="1" hidden="1" x14ac:dyDescent="0.25">
      <c r="A329" s="40"/>
      <c r="B329" s="44"/>
      <c r="C329" s="193" t="s">
        <v>196</v>
      </c>
      <c r="D329" s="192">
        <v>0</v>
      </c>
      <c r="E329" s="192"/>
      <c r="F329" s="192">
        <v>0</v>
      </c>
      <c r="G329" s="191" t="e">
        <f>#REF!+F329</f>
        <v>#REF!</v>
      </c>
      <c r="H329" s="236" t="e">
        <f t="shared" ref="H329:H334" si="117">G329/D329</f>
        <v>#REF!</v>
      </c>
      <c r="I329" s="223"/>
      <c r="J329" s="294"/>
      <c r="K329" s="295"/>
    </row>
    <row r="330" spans="1:11" s="176" customFormat="1" hidden="1" x14ac:dyDescent="0.25">
      <c r="A330" s="40"/>
      <c r="B330" s="190" t="s">
        <v>388</v>
      </c>
      <c r="C330" s="193" t="s">
        <v>197</v>
      </c>
      <c r="D330" s="192">
        <v>0</v>
      </c>
      <c r="E330" s="192">
        <f>'Realisasi Agustus'!H338</f>
        <v>0</v>
      </c>
      <c r="F330" s="192"/>
      <c r="G330" s="192">
        <f>E330+F330</f>
        <v>0</v>
      </c>
      <c r="H330" s="24" t="e">
        <f t="shared" si="117"/>
        <v>#DIV/0!</v>
      </c>
      <c r="I330" s="225"/>
      <c r="J330" s="294"/>
      <c r="K330" s="295"/>
    </row>
    <row r="331" spans="1:11" s="176" customFormat="1" ht="18" hidden="1" customHeight="1" x14ac:dyDescent="0.25">
      <c r="A331" s="40"/>
      <c r="B331" s="44"/>
      <c r="C331" s="193" t="s">
        <v>198</v>
      </c>
      <c r="D331" s="192"/>
      <c r="E331" s="192">
        <f>'Realisasi Agustus'!H339</f>
        <v>0</v>
      </c>
      <c r="F331" s="192"/>
      <c r="G331" s="192">
        <f t="shared" ref="G331:G335" si="118">E331+F331</f>
        <v>0</v>
      </c>
      <c r="H331" s="24" t="e">
        <f t="shared" si="117"/>
        <v>#DIV/0!</v>
      </c>
      <c r="I331" s="223"/>
      <c r="J331" s="294"/>
      <c r="K331" s="295"/>
    </row>
    <row r="332" spans="1:11" s="176" customFormat="1" hidden="1" x14ac:dyDescent="0.25">
      <c r="A332" s="40"/>
      <c r="B332" s="190" t="s">
        <v>389</v>
      </c>
      <c r="C332" s="193" t="s">
        <v>199</v>
      </c>
      <c r="D332" s="192">
        <v>0</v>
      </c>
      <c r="E332" s="192">
        <f>'Realisasi Agustus'!H340</f>
        <v>0</v>
      </c>
      <c r="F332" s="192"/>
      <c r="G332" s="192">
        <f t="shared" si="118"/>
        <v>0</v>
      </c>
      <c r="H332" s="24" t="e">
        <f t="shared" si="117"/>
        <v>#DIV/0!</v>
      </c>
      <c r="I332" s="225"/>
      <c r="J332" s="294"/>
      <c r="K332" s="295"/>
    </row>
    <row r="333" spans="1:11" s="176" customFormat="1" hidden="1" x14ac:dyDescent="0.25">
      <c r="A333" s="40"/>
      <c r="B333" s="44"/>
      <c r="C333" s="193" t="s">
        <v>200</v>
      </c>
      <c r="D333" s="192">
        <v>0</v>
      </c>
      <c r="E333" s="192">
        <f>'Realisasi Agustus'!H341</f>
        <v>0</v>
      </c>
      <c r="F333" s="192"/>
      <c r="G333" s="192">
        <f t="shared" si="118"/>
        <v>0</v>
      </c>
      <c r="H333" s="24" t="e">
        <f t="shared" si="117"/>
        <v>#DIV/0!</v>
      </c>
      <c r="I333" s="223"/>
      <c r="J333" s="294"/>
      <c r="K333" s="295"/>
    </row>
    <row r="334" spans="1:11" s="176" customFormat="1" hidden="1" x14ac:dyDescent="0.25">
      <c r="A334" s="40"/>
      <c r="B334" s="44"/>
      <c r="C334" s="193" t="s">
        <v>201</v>
      </c>
      <c r="D334" s="192"/>
      <c r="E334" s="192">
        <f>'Realisasi Agustus'!H342</f>
        <v>0</v>
      </c>
      <c r="F334" s="192"/>
      <c r="G334" s="192">
        <f t="shared" si="118"/>
        <v>0</v>
      </c>
      <c r="H334" s="24" t="e">
        <f t="shared" si="117"/>
        <v>#DIV/0!</v>
      </c>
      <c r="I334" s="225"/>
      <c r="J334" s="294"/>
      <c r="K334" s="295"/>
    </row>
    <row r="335" spans="1:11" s="176" customFormat="1" hidden="1" x14ac:dyDescent="0.25">
      <c r="A335" s="40"/>
      <c r="B335" s="190" t="s">
        <v>541</v>
      </c>
      <c r="C335" s="193" t="s">
        <v>390</v>
      </c>
      <c r="D335" s="192"/>
      <c r="E335" s="192">
        <f>'Realisasi Agustus'!H343</f>
        <v>0</v>
      </c>
      <c r="F335" s="192"/>
      <c r="G335" s="192">
        <f t="shared" si="118"/>
        <v>0</v>
      </c>
      <c r="H335" s="24" t="e">
        <f>G335/D335</f>
        <v>#DIV/0!</v>
      </c>
      <c r="I335" s="225" t="s">
        <v>470</v>
      </c>
      <c r="J335" s="294"/>
      <c r="K335" s="295"/>
    </row>
    <row r="336" spans="1:11" s="176" customFormat="1" hidden="1" x14ac:dyDescent="0.25">
      <c r="A336" s="40"/>
      <c r="B336" s="44"/>
      <c r="C336" s="183"/>
      <c r="D336" s="192"/>
      <c r="E336" s="192"/>
      <c r="F336" s="192"/>
      <c r="G336" s="191"/>
      <c r="H336" s="24"/>
      <c r="I336" s="223"/>
      <c r="J336" s="294"/>
      <c r="K336" s="295"/>
    </row>
    <row r="337" spans="1:11" s="176" customFormat="1" hidden="1" x14ac:dyDescent="0.25">
      <c r="A337" s="40"/>
      <c r="B337" s="43">
        <v>2</v>
      </c>
      <c r="C337" s="185" t="s">
        <v>202</v>
      </c>
      <c r="D337" s="191">
        <f>SUM(D338:D338)</f>
        <v>0</v>
      </c>
      <c r="E337" s="191"/>
      <c r="F337" s="191">
        <f t="shared" ref="F337:G337" si="119">SUM(F338:F338)</f>
        <v>0</v>
      </c>
      <c r="G337" s="191">
        <f t="shared" si="119"/>
        <v>0</v>
      </c>
      <c r="H337" s="236" t="e">
        <f t="shared" ref="H337:H348" si="120">G337/D337</f>
        <v>#DIV/0!</v>
      </c>
      <c r="I337" s="224"/>
      <c r="J337" s="294"/>
      <c r="K337" s="295"/>
    </row>
    <row r="338" spans="1:11" s="176" customFormat="1" hidden="1" x14ac:dyDescent="0.25">
      <c r="A338" s="40"/>
      <c r="B338" s="190" t="s">
        <v>542</v>
      </c>
      <c r="C338" s="193" t="s">
        <v>391</v>
      </c>
      <c r="D338" s="192"/>
      <c r="E338" s="192"/>
      <c r="F338" s="192"/>
      <c r="G338" s="192">
        <f>E338+F338</f>
        <v>0</v>
      </c>
      <c r="H338" s="24" t="e">
        <f t="shared" si="120"/>
        <v>#DIV/0!</v>
      </c>
      <c r="I338" s="225" t="s">
        <v>470</v>
      </c>
      <c r="J338" s="294"/>
      <c r="K338" s="295"/>
    </row>
    <row r="339" spans="1:11" s="176" customFormat="1" hidden="1" x14ac:dyDescent="0.25">
      <c r="A339" s="40"/>
      <c r="B339" s="43">
        <v>3</v>
      </c>
      <c r="C339" s="185" t="s">
        <v>203</v>
      </c>
      <c r="D339" s="191">
        <f>SUM(D340:D340)</f>
        <v>0</v>
      </c>
      <c r="E339" s="191"/>
      <c r="F339" s="191">
        <f t="shared" ref="F339:G339" si="121">SUM(F340:F340)</f>
        <v>0</v>
      </c>
      <c r="G339" s="191">
        <f t="shared" si="121"/>
        <v>0</v>
      </c>
      <c r="H339" s="236" t="e">
        <f t="shared" si="120"/>
        <v>#DIV/0!</v>
      </c>
      <c r="I339" s="224"/>
      <c r="J339" s="294"/>
      <c r="K339" s="295"/>
    </row>
    <row r="340" spans="1:11" s="176" customFormat="1" hidden="1" x14ac:dyDescent="0.25">
      <c r="A340" s="40"/>
      <c r="B340" s="190" t="s">
        <v>543</v>
      </c>
      <c r="C340" s="193" t="s">
        <v>392</v>
      </c>
      <c r="D340" s="192"/>
      <c r="E340" s="192"/>
      <c r="F340" s="192"/>
      <c r="G340" s="192">
        <f>E340+F340</f>
        <v>0</v>
      </c>
      <c r="H340" s="24" t="e">
        <f t="shared" si="120"/>
        <v>#DIV/0!</v>
      </c>
      <c r="I340" s="225" t="s">
        <v>469</v>
      </c>
      <c r="J340" s="294"/>
      <c r="K340" s="295"/>
    </row>
    <row r="341" spans="1:11" s="176" customFormat="1" hidden="1" x14ac:dyDescent="0.25">
      <c r="A341" s="40"/>
      <c r="B341" s="43">
        <v>4</v>
      </c>
      <c r="C341" s="185" t="s">
        <v>192</v>
      </c>
      <c r="D341" s="191">
        <f>SUM(D342)</f>
        <v>0</v>
      </c>
      <c r="E341" s="191"/>
      <c r="F341" s="191">
        <f t="shared" ref="F341:G341" si="122">SUM(F342)</f>
        <v>0</v>
      </c>
      <c r="G341" s="191">
        <f t="shared" si="122"/>
        <v>0</v>
      </c>
      <c r="H341" s="236" t="e">
        <f t="shared" si="120"/>
        <v>#DIV/0!</v>
      </c>
      <c r="I341" s="224"/>
      <c r="J341" s="294"/>
      <c r="K341" s="295"/>
    </row>
    <row r="342" spans="1:11" s="176" customFormat="1" hidden="1" x14ac:dyDescent="0.25">
      <c r="A342" s="40"/>
      <c r="B342" s="190" t="s">
        <v>544</v>
      </c>
      <c r="C342" s="47" t="s">
        <v>393</v>
      </c>
      <c r="D342" s="192"/>
      <c r="E342" s="192"/>
      <c r="F342" s="192"/>
      <c r="G342" s="192">
        <f>E342+F342</f>
        <v>0</v>
      </c>
      <c r="H342" s="24" t="e">
        <f t="shared" si="120"/>
        <v>#DIV/0!</v>
      </c>
      <c r="I342" s="225" t="s">
        <v>469</v>
      </c>
      <c r="J342" s="294"/>
      <c r="K342" s="295"/>
    </row>
    <row r="343" spans="1:11" s="176" customFormat="1" hidden="1" x14ac:dyDescent="0.25">
      <c r="A343" s="40"/>
      <c r="B343" s="43">
        <v>5</v>
      </c>
      <c r="C343" s="185" t="s">
        <v>204</v>
      </c>
      <c r="D343" s="191">
        <f>SUM(D344:D344)</f>
        <v>0</v>
      </c>
      <c r="E343" s="191"/>
      <c r="F343" s="191">
        <f t="shared" ref="F343:G343" si="123">SUM(F344:F344)</f>
        <v>0</v>
      </c>
      <c r="G343" s="191">
        <f t="shared" si="123"/>
        <v>0</v>
      </c>
      <c r="H343" s="236" t="e">
        <f t="shared" si="120"/>
        <v>#DIV/0!</v>
      </c>
      <c r="I343" s="223"/>
      <c r="J343" s="294"/>
      <c r="K343" s="295"/>
    </row>
    <row r="344" spans="1:11" s="176" customFormat="1" hidden="1" x14ac:dyDescent="0.25">
      <c r="A344" s="40"/>
      <c r="B344" s="190" t="s">
        <v>545</v>
      </c>
      <c r="C344" s="47" t="s">
        <v>394</v>
      </c>
      <c r="D344" s="192"/>
      <c r="E344" s="192"/>
      <c r="F344" s="192"/>
      <c r="G344" s="192">
        <f>E344+F344</f>
        <v>0</v>
      </c>
      <c r="H344" s="24" t="e">
        <f t="shared" si="120"/>
        <v>#DIV/0!</v>
      </c>
      <c r="I344" s="225"/>
      <c r="J344" s="294"/>
      <c r="K344" s="295"/>
    </row>
    <row r="345" spans="1:11" s="176" customFormat="1" hidden="1" x14ac:dyDescent="0.25">
      <c r="A345" s="40"/>
      <c r="B345" s="43">
        <v>6</v>
      </c>
      <c r="C345" s="185" t="s">
        <v>205</v>
      </c>
      <c r="D345" s="191">
        <f>SUM(D346:D346)</f>
        <v>0</v>
      </c>
      <c r="E345" s="191">
        <f t="shared" ref="E345:G345" si="124">SUM(E346:E346)</f>
        <v>0</v>
      </c>
      <c r="F345" s="191">
        <f t="shared" si="124"/>
        <v>0</v>
      </c>
      <c r="G345" s="191">
        <f t="shared" si="124"/>
        <v>0</v>
      </c>
      <c r="H345" s="253" t="e">
        <f t="shared" si="120"/>
        <v>#DIV/0!</v>
      </c>
      <c r="I345" s="223"/>
      <c r="J345" s="294"/>
      <c r="K345" s="295"/>
    </row>
    <row r="346" spans="1:11" s="176" customFormat="1" hidden="1" x14ac:dyDescent="0.25">
      <c r="A346" s="40"/>
      <c r="B346" s="190" t="s">
        <v>376</v>
      </c>
      <c r="C346" s="48" t="s">
        <v>395</v>
      </c>
      <c r="D346" s="192">
        <v>0</v>
      </c>
      <c r="E346" s="192"/>
      <c r="F346" s="192"/>
      <c r="G346" s="192">
        <f>E346+F346</f>
        <v>0</v>
      </c>
      <c r="H346" s="252" t="e">
        <f t="shared" si="120"/>
        <v>#DIV/0!</v>
      </c>
      <c r="I346" s="225"/>
      <c r="J346" s="294"/>
      <c r="K346" s="295"/>
    </row>
    <row r="347" spans="1:11" s="176" customFormat="1" hidden="1" x14ac:dyDescent="0.25">
      <c r="A347" s="40"/>
      <c r="B347" s="46">
        <v>7</v>
      </c>
      <c r="C347" s="170" t="s">
        <v>206</v>
      </c>
      <c r="D347" s="191">
        <f>D348</f>
        <v>0</v>
      </c>
      <c r="E347" s="191"/>
      <c r="F347" s="191">
        <f t="shared" ref="F347:G347" si="125">F348</f>
        <v>0</v>
      </c>
      <c r="G347" s="191">
        <f t="shared" si="125"/>
        <v>0</v>
      </c>
      <c r="H347" s="236" t="e">
        <f t="shared" si="120"/>
        <v>#DIV/0!</v>
      </c>
      <c r="I347" s="225"/>
      <c r="J347" s="294"/>
      <c r="K347" s="295"/>
    </row>
    <row r="348" spans="1:11" s="176" customFormat="1" hidden="1" x14ac:dyDescent="0.25">
      <c r="A348" s="40"/>
      <c r="B348" s="190" t="s">
        <v>546</v>
      </c>
      <c r="C348" s="48" t="s">
        <v>207</v>
      </c>
      <c r="D348" s="192"/>
      <c r="E348" s="192"/>
      <c r="F348" s="192"/>
      <c r="G348" s="192">
        <f>E348+F348</f>
        <v>0</v>
      </c>
      <c r="H348" s="24" t="e">
        <f t="shared" si="120"/>
        <v>#DIV/0!</v>
      </c>
      <c r="I348" s="225" t="s">
        <v>469</v>
      </c>
      <c r="J348" s="294"/>
      <c r="K348" s="295"/>
    </row>
    <row r="349" spans="1:11" s="176" customFormat="1" hidden="1" x14ac:dyDescent="0.25">
      <c r="A349" s="40"/>
      <c r="B349" s="46"/>
      <c r="C349" s="49"/>
      <c r="D349" s="50"/>
      <c r="E349" s="50"/>
      <c r="F349" s="50"/>
      <c r="G349" s="191"/>
      <c r="H349" s="236"/>
      <c r="I349" s="223"/>
      <c r="J349" s="294"/>
      <c r="K349" s="295"/>
    </row>
    <row r="350" spans="1:11" s="176" customFormat="1" ht="36.75" hidden="1" customHeight="1" x14ac:dyDescent="0.25">
      <c r="A350" s="293"/>
      <c r="B350" s="262" t="s">
        <v>415</v>
      </c>
      <c r="C350" s="41" t="s">
        <v>208</v>
      </c>
      <c r="D350" s="42">
        <f>SUM(D351+D353+D355+D358+D360+D362)</f>
        <v>0</v>
      </c>
      <c r="E350" s="42"/>
      <c r="F350" s="42">
        <f>SUM(F351+F353+F355+F358+F360+F362)</f>
        <v>0</v>
      </c>
      <c r="G350" s="42">
        <f t="shared" ref="G350:G363" si="126">F350-D350</f>
        <v>0</v>
      </c>
      <c r="H350" s="237"/>
      <c r="I350" s="226"/>
      <c r="J350" s="294"/>
      <c r="K350" s="295"/>
    </row>
    <row r="351" spans="1:11" s="176" customFormat="1" hidden="1" x14ac:dyDescent="0.25">
      <c r="A351" s="40"/>
      <c r="B351" s="51">
        <v>1</v>
      </c>
      <c r="C351" s="35" t="s">
        <v>209</v>
      </c>
      <c r="D351" s="191">
        <f>SUM(D352:D352)</f>
        <v>0</v>
      </c>
      <c r="E351" s="191"/>
      <c r="F351" s="191">
        <f>SUM(F352:F352)</f>
        <v>0</v>
      </c>
      <c r="G351" s="191">
        <f t="shared" si="126"/>
        <v>0</v>
      </c>
      <c r="H351" s="236"/>
      <c r="I351" s="224"/>
      <c r="J351" s="294"/>
      <c r="K351" s="295"/>
    </row>
    <row r="352" spans="1:11" s="176" customFormat="1" hidden="1" x14ac:dyDescent="0.25">
      <c r="A352" s="40"/>
      <c r="B352" s="190" t="s">
        <v>380</v>
      </c>
      <c r="C352" s="193" t="s">
        <v>210</v>
      </c>
      <c r="D352" s="192">
        <v>0</v>
      </c>
      <c r="E352" s="192"/>
      <c r="F352" s="192">
        <v>0</v>
      </c>
      <c r="G352" s="192">
        <f t="shared" si="126"/>
        <v>0</v>
      </c>
      <c r="H352" s="24"/>
      <c r="I352" s="225"/>
      <c r="J352" s="294"/>
      <c r="K352" s="295"/>
    </row>
    <row r="353" spans="1:11" s="176" customFormat="1" hidden="1" x14ac:dyDescent="0.25">
      <c r="A353" s="40"/>
      <c r="B353" s="51">
        <v>2</v>
      </c>
      <c r="C353" s="35" t="s">
        <v>211</v>
      </c>
      <c r="D353" s="191">
        <f>SUM(D354)</f>
        <v>0</v>
      </c>
      <c r="E353" s="191"/>
      <c r="F353" s="191">
        <f>SUM(F354)</f>
        <v>0</v>
      </c>
      <c r="G353" s="191">
        <f t="shared" si="126"/>
        <v>0</v>
      </c>
      <c r="H353" s="236"/>
      <c r="I353" s="224"/>
      <c r="J353" s="294"/>
      <c r="K353" s="295"/>
    </row>
    <row r="354" spans="1:11" s="176" customFormat="1" hidden="1" x14ac:dyDescent="0.25">
      <c r="A354" s="40"/>
      <c r="B354" s="190" t="s">
        <v>383</v>
      </c>
      <c r="C354" s="193" t="s">
        <v>194</v>
      </c>
      <c r="D354" s="192">
        <v>0</v>
      </c>
      <c r="E354" s="192"/>
      <c r="F354" s="192">
        <v>0</v>
      </c>
      <c r="G354" s="192">
        <f t="shared" si="126"/>
        <v>0</v>
      </c>
      <c r="H354" s="24"/>
      <c r="I354" s="225"/>
      <c r="J354" s="294"/>
      <c r="K354" s="295"/>
    </row>
    <row r="355" spans="1:11" s="176" customFormat="1" hidden="1" x14ac:dyDescent="0.25">
      <c r="A355" s="40"/>
      <c r="B355" s="51">
        <v>3</v>
      </c>
      <c r="C355" s="185" t="s">
        <v>172</v>
      </c>
      <c r="D355" s="191">
        <f>SUM(D356:D357)</f>
        <v>0</v>
      </c>
      <c r="E355" s="191"/>
      <c r="F355" s="191">
        <f>SUM(F356:F357)</f>
        <v>0</v>
      </c>
      <c r="G355" s="191">
        <f t="shared" si="126"/>
        <v>0</v>
      </c>
      <c r="H355" s="236"/>
      <c r="I355" s="224"/>
      <c r="J355" s="294"/>
      <c r="K355" s="295"/>
    </row>
    <row r="356" spans="1:11" s="176" customFormat="1" hidden="1" x14ac:dyDescent="0.25">
      <c r="A356" s="40"/>
      <c r="B356" s="190" t="s">
        <v>377</v>
      </c>
      <c r="C356" s="193" t="s">
        <v>174</v>
      </c>
      <c r="D356" s="192"/>
      <c r="E356" s="192"/>
      <c r="F356" s="192"/>
      <c r="G356" s="192">
        <f t="shared" si="126"/>
        <v>0</v>
      </c>
      <c r="H356" s="24"/>
      <c r="I356" s="225"/>
      <c r="J356" s="294"/>
      <c r="K356" s="295"/>
    </row>
    <row r="357" spans="1:11" s="176" customFormat="1" hidden="1" x14ac:dyDescent="0.25">
      <c r="A357" s="40"/>
      <c r="B357" s="190" t="s">
        <v>378</v>
      </c>
      <c r="C357" s="193" t="s">
        <v>175</v>
      </c>
      <c r="D357" s="192"/>
      <c r="E357" s="192"/>
      <c r="F357" s="192"/>
      <c r="G357" s="192">
        <f t="shared" si="126"/>
        <v>0</v>
      </c>
      <c r="H357" s="24"/>
      <c r="I357" s="225"/>
      <c r="J357" s="294"/>
      <c r="K357" s="295"/>
    </row>
    <row r="358" spans="1:11" s="176" customFormat="1" hidden="1" x14ac:dyDescent="0.25">
      <c r="A358" s="40"/>
      <c r="B358" s="51">
        <v>4</v>
      </c>
      <c r="C358" s="35" t="s">
        <v>212</v>
      </c>
      <c r="D358" s="191">
        <f>D359</f>
        <v>0</v>
      </c>
      <c r="E358" s="191"/>
      <c r="F358" s="191">
        <f>F359</f>
        <v>0</v>
      </c>
      <c r="G358" s="191">
        <f t="shared" si="126"/>
        <v>0</v>
      </c>
      <c r="H358" s="236"/>
      <c r="I358" s="225"/>
      <c r="J358" s="294"/>
      <c r="K358" s="295"/>
    </row>
    <row r="359" spans="1:11" s="176" customFormat="1" hidden="1" x14ac:dyDescent="0.25">
      <c r="A359" s="40"/>
      <c r="B359" s="190" t="s">
        <v>381</v>
      </c>
      <c r="C359" s="193" t="s">
        <v>189</v>
      </c>
      <c r="D359" s="191">
        <v>0</v>
      </c>
      <c r="E359" s="191"/>
      <c r="F359" s="191">
        <v>0</v>
      </c>
      <c r="G359" s="192">
        <f t="shared" si="126"/>
        <v>0</v>
      </c>
      <c r="H359" s="236"/>
      <c r="I359" s="225"/>
      <c r="J359" s="294"/>
      <c r="K359" s="295"/>
    </row>
    <row r="360" spans="1:11" s="176" customFormat="1" hidden="1" x14ac:dyDescent="0.25">
      <c r="A360" s="40"/>
      <c r="B360" s="51">
        <v>5</v>
      </c>
      <c r="C360" s="35" t="s">
        <v>213</v>
      </c>
      <c r="D360" s="191">
        <f>SUM(D361:D361)</f>
        <v>0</v>
      </c>
      <c r="E360" s="191"/>
      <c r="F360" s="191">
        <f>SUM(F361:F361)</f>
        <v>0</v>
      </c>
      <c r="G360" s="191">
        <f t="shared" si="126"/>
        <v>0</v>
      </c>
      <c r="H360" s="236"/>
      <c r="I360" s="224"/>
      <c r="J360" s="294"/>
      <c r="K360" s="295"/>
    </row>
    <row r="361" spans="1:11" s="176" customFormat="1" hidden="1" x14ac:dyDescent="0.25">
      <c r="A361" s="40"/>
      <c r="B361" s="190" t="s">
        <v>382</v>
      </c>
      <c r="C361" s="193" t="s">
        <v>187</v>
      </c>
      <c r="D361" s="192">
        <v>0</v>
      </c>
      <c r="E361" s="192"/>
      <c r="F361" s="192">
        <v>0</v>
      </c>
      <c r="G361" s="192">
        <f t="shared" si="126"/>
        <v>0</v>
      </c>
      <c r="H361" s="24"/>
      <c r="I361" s="225"/>
      <c r="J361" s="294"/>
      <c r="K361" s="295"/>
    </row>
    <row r="362" spans="1:11" s="176" customFormat="1" hidden="1" x14ac:dyDescent="0.25">
      <c r="A362" s="40"/>
      <c r="B362" s="51">
        <v>6</v>
      </c>
      <c r="C362" s="35" t="s">
        <v>214</v>
      </c>
      <c r="D362" s="191">
        <f>SUM(D363:D363)</f>
        <v>0</v>
      </c>
      <c r="E362" s="191"/>
      <c r="F362" s="191">
        <f>SUM(F363:F363)</f>
        <v>0</v>
      </c>
      <c r="G362" s="191">
        <f t="shared" si="126"/>
        <v>0</v>
      </c>
      <c r="H362" s="236"/>
      <c r="I362" s="224"/>
      <c r="J362" s="294"/>
      <c r="K362" s="295"/>
    </row>
    <row r="363" spans="1:11" s="176" customFormat="1" hidden="1" x14ac:dyDescent="0.25">
      <c r="A363" s="40"/>
      <c r="B363" s="190" t="s">
        <v>379</v>
      </c>
      <c r="C363" s="193" t="s">
        <v>215</v>
      </c>
      <c r="D363" s="192"/>
      <c r="E363" s="192"/>
      <c r="F363" s="192"/>
      <c r="G363" s="192">
        <f t="shared" si="126"/>
        <v>0</v>
      </c>
      <c r="H363" s="24"/>
      <c r="I363" s="225"/>
      <c r="J363" s="294"/>
      <c r="K363" s="295"/>
    </row>
    <row r="364" spans="1:11" s="176" customFormat="1" x14ac:dyDescent="0.25">
      <c r="A364" s="40"/>
      <c r="B364" s="178"/>
      <c r="C364" s="183"/>
      <c r="D364" s="192"/>
      <c r="E364" s="192"/>
      <c r="F364" s="192"/>
      <c r="G364" s="191"/>
      <c r="H364" s="236"/>
      <c r="I364" s="224"/>
      <c r="J364" s="294"/>
      <c r="K364" s="295"/>
    </row>
    <row r="365" spans="1:11" s="176" customFormat="1" ht="25.5" customHeight="1" x14ac:dyDescent="0.25">
      <c r="A365" s="138" t="s">
        <v>235</v>
      </c>
      <c r="B365" s="139" t="s">
        <v>384</v>
      </c>
      <c r="C365" s="140" t="s">
        <v>385</v>
      </c>
      <c r="D365" s="141">
        <f>SUM(D367+D369+M372+D372+D375+D378+D381+D384+D392+D395+D398+D401+D404+D407)</f>
        <v>119754141780</v>
      </c>
      <c r="E365" s="141">
        <f t="shared" ref="E365:G365" si="127">SUM(E367+E369+N372+E372+E375+E378+E381+E384+E392+E395+E398+E401+E404+E407)</f>
        <v>47328263067</v>
      </c>
      <c r="F365" s="141">
        <f t="shared" si="127"/>
        <v>54258081410</v>
      </c>
      <c r="G365" s="141">
        <f t="shared" si="127"/>
        <v>101586344477</v>
      </c>
      <c r="H365" s="240">
        <f>G365/D365</f>
        <v>0.84829086465856007</v>
      </c>
      <c r="I365" s="225" t="s">
        <v>216</v>
      </c>
      <c r="J365" s="294"/>
      <c r="K365" s="295"/>
    </row>
    <row r="366" spans="1:11" s="176" customFormat="1" ht="21" customHeight="1" x14ac:dyDescent="0.25">
      <c r="A366" s="40"/>
      <c r="B366" s="167" t="s">
        <v>19</v>
      </c>
      <c r="C366" s="185" t="s">
        <v>635</v>
      </c>
      <c r="D366" s="191">
        <f>D367</f>
        <v>50738030000</v>
      </c>
      <c r="E366" s="191">
        <f t="shared" ref="E366:G366" si="128">E367</f>
        <v>0</v>
      </c>
      <c r="F366" s="191">
        <f t="shared" si="128"/>
        <v>39790809140</v>
      </c>
      <c r="G366" s="191">
        <f t="shared" si="128"/>
        <v>39790809140</v>
      </c>
      <c r="H366" s="236">
        <f>G366/D366</f>
        <v>0.78424032505794961</v>
      </c>
      <c r="I366" s="225" t="s">
        <v>218</v>
      </c>
      <c r="J366" s="294"/>
      <c r="K366" s="295"/>
    </row>
    <row r="367" spans="1:11" s="176" customFormat="1" ht="21" customHeight="1" x14ac:dyDescent="0.25">
      <c r="A367" s="40"/>
      <c r="B367" s="190" t="s">
        <v>634</v>
      </c>
      <c r="C367" s="183" t="s">
        <v>636</v>
      </c>
      <c r="D367" s="192">
        <v>50738030000</v>
      </c>
      <c r="E367" s="192">
        <f>'Realisasi Nov'!G367</f>
        <v>0</v>
      </c>
      <c r="F367" s="192">
        <v>39790809140</v>
      </c>
      <c r="G367" s="192">
        <f>E367+F367</f>
        <v>39790809140</v>
      </c>
      <c r="H367" s="24">
        <f>G367/D367</f>
        <v>0.78424032505794961</v>
      </c>
      <c r="I367" s="225"/>
      <c r="J367" s="294"/>
      <c r="K367" s="296"/>
    </row>
    <row r="368" spans="1:11" s="176" customFormat="1" ht="25.5" customHeight="1" x14ac:dyDescent="0.25">
      <c r="A368" s="169"/>
      <c r="B368" s="189"/>
      <c r="C368" s="185"/>
      <c r="D368" s="191"/>
      <c r="E368" s="192"/>
      <c r="F368" s="191"/>
      <c r="G368" s="191"/>
      <c r="H368" s="236"/>
      <c r="I368" s="225"/>
      <c r="J368" s="294"/>
      <c r="K368" s="296"/>
    </row>
    <row r="369" spans="1:11" s="176" customFormat="1" ht="21" customHeight="1" x14ac:dyDescent="0.25">
      <c r="A369" s="40"/>
      <c r="B369" s="167" t="s">
        <v>39</v>
      </c>
      <c r="C369" s="185" t="s">
        <v>638</v>
      </c>
      <c r="D369" s="191">
        <f>D370</f>
        <v>1125000000</v>
      </c>
      <c r="E369" s="191">
        <f>'Realisasi Nov'!G369</f>
        <v>0</v>
      </c>
      <c r="F369" s="191">
        <f t="shared" ref="F369:G369" si="129">F370</f>
        <v>720000000</v>
      </c>
      <c r="G369" s="191">
        <f t="shared" si="129"/>
        <v>720000000</v>
      </c>
      <c r="H369" s="236">
        <f>G369/D369</f>
        <v>0.64</v>
      </c>
      <c r="I369" s="225" t="s">
        <v>218</v>
      </c>
      <c r="J369" s="294"/>
      <c r="K369" s="296"/>
    </row>
    <row r="370" spans="1:11" s="176" customFormat="1" ht="21" customHeight="1" x14ac:dyDescent="0.25">
      <c r="A370" s="40"/>
      <c r="B370" s="190" t="s">
        <v>637</v>
      </c>
      <c r="C370" s="183" t="s">
        <v>639</v>
      </c>
      <c r="D370" s="192">
        <v>1125000000</v>
      </c>
      <c r="E370" s="192">
        <f>'Realisasi Nov'!G370</f>
        <v>0</v>
      </c>
      <c r="F370" s="192">
        <v>720000000</v>
      </c>
      <c r="G370" s="192">
        <f>E370+F370</f>
        <v>720000000</v>
      </c>
      <c r="H370" s="24">
        <f>G370/D370</f>
        <v>0.64</v>
      </c>
      <c r="I370" s="225"/>
      <c r="J370" s="294"/>
      <c r="K370" s="296"/>
    </row>
    <row r="371" spans="1:11" s="176" customFormat="1" ht="21" customHeight="1" x14ac:dyDescent="0.25">
      <c r="A371" s="40"/>
      <c r="B371" s="190"/>
      <c r="C371" s="183"/>
      <c r="D371" s="192"/>
      <c r="E371" s="192"/>
      <c r="F371" s="192"/>
      <c r="G371" s="192"/>
      <c r="H371" s="24"/>
      <c r="I371" s="225"/>
      <c r="J371" s="294"/>
      <c r="K371" s="295"/>
    </row>
    <row r="372" spans="1:11" s="176" customFormat="1" ht="21" customHeight="1" x14ac:dyDescent="0.25">
      <c r="A372" s="40"/>
      <c r="B372" s="167" t="s">
        <v>19</v>
      </c>
      <c r="C372" s="185" t="s">
        <v>217</v>
      </c>
      <c r="D372" s="191">
        <f>D373</f>
        <v>2661700000</v>
      </c>
      <c r="E372" s="191">
        <f>'Realisasi Nov'!G372</f>
        <v>0</v>
      </c>
      <c r="F372" s="191">
        <f t="shared" ref="F372:G372" si="130">F373</f>
        <v>0</v>
      </c>
      <c r="G372" s="191">
        <f t="shared" si="130"/>
        <v>0</v>
      </c>
      <c r="H372" s="236">
        <f>G372/D372</f>
        <v>0</v>
      </c>
      <c r="I372" s="225" t="s">
        <v>218</v>
      </c>
      <c r="J372" s="294"/>
      <c r="K372" s="295"/>
    </row>
    <row r="373" spans="1:11" s="176" customFormat="1" ht="21" customHeight="1" x14ac:dyDescent="0.25">
      <c r="A373" s="40"/>
      <c r="B373" s="190" t="s">
        <v>547</v>
      </c>
      <c r="C373" s="183" t="s">
        <v>217</v>
      </c>
      <c r="D373" s="192">
        <v>2661700000</v>
      </c>
      <c r="E373" s="192">
        <f>'Realisasi Nov'!G373</f>
        <v>0</v>
      </c>
      <c r="F373" s="192"/>
      <c r="G373" s="192">
        <f>E373+F373</f>
        <v>0</v>
      </c>
      <c r="H373" s="24">
        <f>G373/D373</f>
        <v>0</v>
      </c>
      <c r="I373" s="225"/>
      <c r="J373" s="294"/>
      <c r="K373" s="295"/>
    </row>
    <row r="374" spans="1:11" s="176" customFormat="1" ht="21" customHeight="1" x14ac:dyDescent="0.25">
      <c r="A374" s="40"/>
      <c r="B374" s="190"/>
      <c r="C374" s="183"/>
      <c r="D374" s="192"/>
      <c r="E374" s="192"/>
      <c r="F374" s="192"/>
      <c r="G374" s="192"/>
      <c r="H374" s="236"/>
      <c r="I374" s="225"/>
      <c r="J374" s="294"/>
      <c r="K374" s="295"/>
    </row>
    <row r="375" spans="1:11" s="176" customFormat="1" ht="21" customHeight="1" x14ac:dyDescent="0.25">
      <c r="A375" s="40"/>
      <c r="B375" s="167" t="s">
        <v>39</v>
      </c>
      <c r="C375" s="185" t="s">
        <v>219</v>
      </c>
      <c r="D375" s="191">
        <f>D376</f>
        <v>747200000</v>
      </c>
      <c r="E375" s="191">
        <f>'Realisasi Nov'!G375</f>
        <v>0</v>
      </c>
      <c r="F375" s="191">
        <f t="shared" ref="F375:G375" si="131">F376</f>
        <v>0</v>
      </c>
      <c r="G375" s="191">
        <f t="shared" si="131"/>
        <v>0</v>
      </c>
      <c r="H375" s="236">
        <f>G375/D375</f>
        <v>0</v>
      </c>
      <c r="I375" s="225" t="s">
        <v>218</v>
      </c>
      <c r="J375" s="294"/>
      <c r="K375" s="295"/>
    </row>
    <row r="376" spans="1:11" s="176" customFormat="1" ht="21" customHeight="1" x14ac:dyDescent="0.25">
      <c r="A376" s="40"/>
      <c r="B376" s="190" t="s">
        <v>548</v>
      </c>
      <c r="C376" s="183" t="s">
        <v>219</v>
      </c>
      <c r="D376" s="192">
        <v>747200000</v>
      </c>
      <c r="E376" s="192">
        <f>'Realisasi Nov'!G376</f>
        <v>0</v>
      </c>
      <c r="F376" s="192"/>
      <c r="G376" s="192">
        <f>E376+F376</f>
        <v>0</v>
      </c>
      <c r="H376" s="24">
        <f>G376/D376</f>
        <v>0</v>
      </c>
      <c r="I376" s="225"/>
      <c r="J376" s="294"/>
      <c r="K376" s="295"/>
    </row>
    <row r="377" spans="1:11" s="176" customFormat="1" ht="21" customHeight="1" x14ac:dyDescent="0.25">
      <c r="A377" s="40"/>
      <c r="B377" s="190"/>
      <c r="C377" s="183"/>
      <c r="D377" s="191"/>
      <c r="E377" s="192"/>
      <c r="F377" s="191"/>
      <c r="G377" s="192"/>
      <c r="H377" s="236"/>
      <c r="I377" s="225"/>
      <c r="J377" s="294"/>
      <c r="K377" s="295"/>
    </row>
    <row r="378" spans="1:11" s="176" customFormat="1" x14ac:dyDescent="0.25">
      <c r="A378" s="40"/>
      <c r="B378" s="167" t="s">
        <v>46</v>
      </c>
      <c r="C378" s="35" t="s">
        <v>220</v>
      </c>
      <c r="D378" s="191">
        <f>SUM(D379)</f>
        <v>53724109000</v>
      </c>
      <c r="E378" s="191">
        <f>'Realisasi Nov'!G378</f>
        <v>42979287000</v>
      </c>
      <c r="F378" s="191">
        <f t="shared" ref="F378:G378" si="132">SUM(F379)</f>
        <v>8987890370</v>
      </c>
      <c r="G378" s="191">
        <f t="shared" si="132"/>
        <v>51967177370</v>
      </c>
      <c r="H378" s="236">
        <f>G378/D378</f>
        <v>0.96729714717092841</v>
      </c>
      <c r="I378" s="223"/>
      <c r="J378" s="294"/>
      <c r="K378" s="295"/>
    </row>
    <row r="379" spans="1:11" s="176" customFormat="1" x14ac:dyDescent="0.25">
      <c r="A379" s="40"/>
      <c r="B379" s="190" t="s">
        <v>549</v>
      </c>
      <c r="C379" s="193" t="s">
        <v>220</v>
      </c>
      <c r="D379" s="181">
        <v>53724109000</v>
      </c>
      <c r="E379" s="192">
        <f>'Realisasi Nov'!G379</f>
        <v>42979287000</v>
      </c>
      <c r="F379" s="192">
        <v>8987890370</v>
      </c>
      <c r="G379" s="192">
        <f>E379+F379</f>
        <v>51967177370</v>
      </c>
      <c r="H379" s="24">
        <f>G379/D379</f>
        <v>0.96729714717092841</v>
      </c>
      <c r="I379" s="225" t="s">
        <v>218</v>
      </c>
      <c r="J379" s="294"/>
      <c r="K379" s="295"/>
    </row>
    <row r="380" spans="1:11" s="176" customFormat="1" x14ac:dyDescent="0.25">
      <c r="A380" s="40"/>
      <c r="B380" s="190"/>
      <c r="C380" s="193"/>
      <c r="D380" s="181"/>
      <c r="E380" s="192"/>
      <c r="F380" s="192"/>
      <c r="G380" s="192"/>
      <c r="H380" s="24"/>
      <c r="I380" s="225"/>
      <c r="J380" s="294"/>
      <c r="K380" s="295"/>
    </row>
    <row r="381" spans="1:11" s="176" customFormat="1" x14ac:dyDescent="0.25">
      <c r="A381" s="40"/>
      <c r="B381" s="167" t="s">
        <v>8</v>
      </c>
      <c r="C381" s="35" t="s">
        <v>221</v>
      </c>
      <c r="D381" s="196">
        <f>SUM(D382)</f>
        <v>2271000000</v>
      </c>
      <c r="E381" s="191">
        <f>'Realisasi Nov'!G381</f>
        <v>1558500000</v>
      </c>
      <c r="F381" s="191">
        <f t="shared" ref="F381:G381" si="133">SUM(F382)</f>
        <v>0</v>
      </c>
      <c r="G381" s="191">
        <f t="shared" si="133"/>
        <v>1558500000</v>
      </c>
      <c r="H381" s="236">
        <f>G381/D381</f>
        <v>0.68626155878467632</v>
      </c>
      <c r="I381" s="223"/>
      <c r="J381" s="294"/>
      <c r="K381" s="295"/>
    </row>
    <row r="382" spans="1:11" s="176" customFormat="1" x14ac:dyDescent="0.25">
      <c r="A382" s="40"/>
      <c r="B382" s="190" t="s">
        <v>550</v>
      </c>
      <c r="C382" s="193" t="s">
        <v>221</v>
      </c>
      <c r="D382" s="181">
        <v>2271000000</v>
      </c>
      <c r="E382" s="192">
        <f>'Realisasi Nov'!G382</f>
        <v>1558500000</v>
      </c>
      <c r="F382" s="192"/>
      <c r="G382" s="192">
        <f>E382+F382</f>
        <v>1558500000</v>
      </c>
      <c r="H382" s="24">
        <f>G382/D382</f>
        <v>0.68626155878467632</v>
      </c>
      <c r="I382" s="225" t="s">
        <v>218</v>
      </c>
      <c r="J382" s="294"/>
      <c r="K382" s="295"/>
    </row>
    <row r="383" spans="1:11" s="176" customFormat="1" x14ac:dyDescent="0.25">
      <c r="A383" s="40"/>
      <c r="B383" s="190"/>
      <c r="C383" s="193"/>
      <c r="D383" s="192"/>
      <c r="E383" s="192"/>
      <c r="F383" s="192"/>
      <c r="G383" s="192"/>
      <c r="H383" s="24"/>
      <c r="I383" s="225"/>
      <c r="J383" s="294"/>
      <c r="K383" s="295"/>
    </row>
    <row r="384" spans="1:11" s="176" customFormat="1" x14ac:dyDescent="0.25">
      <c r="A384" s="40"/>
      <c r="B384" s="167" t="s">
        <v>49</v>
      </c>
      <c r="C384" s="35" t="s">
        <v>222</v>
      </c>
      <c r="D384" s="191">
        <f>SUM(D385:D390)</f>
        <v>7190684820</v>
      </c>
      <c r="E384" s="191">
        <f>'Realisasi Nov'!G384</f>
        <v>2361210007</v>
      </c>
      <c r="F384" s="191">
        <f t="shared" ref="F384:G384" si="134">SUM(F385:F390)</f>
        <v>3892230000</v>
      </c>
      <c r="G384" s="191">
        <f t="shared" si="134"/>
        <v>6253440007</v>
      </c>
      <c r="H384" s="236">
        <f>G384/D384</f>
        <v>0.86965847670124974</v>
      </c>
      <c r="I384" s="227"/>
      <c r="J384" s="294"/>
      <c r="K384" s="295"/>
    </row>
    <row r="385" spans="1:11" s="176" customFormat="1" x14ac:dyDescent="0.25">
      <c r="A385" s="40"/>
      <c r="B385" s="190" t="s">
        <v>551</v>
      </c>
      <c r="C385" s="193" t="s">
        <v>223</v>
      </c>
      <c r="D385" s="192">
        <v>3898007720</v>
      </c>
      <c r="E385" s="192">
        <f>'Realisasi Nov'!G385</f>
        <v>1554209607</v>
      </c>
      <c r="F385" s="192">
        <v>2565752000</v>
      </c>
      <c r="G385" s="192">
        <f>E385+F385</f>
        <v>4119961607</v>
      </c>
      <c r="H385" s="24">
        <f>G385/D385</f>
        <v>1.0569403405388844</v>
      </c>
      <c r="I385" s="225" t="s">
        <v>218</v>
      </c>
      <c r="J385" s="294"/>
      <c r="K385" s="295"/>
    </row>
    <row r="386" spans="1:11" s="176" customFormat="1" x14ac:dyDescent="0.25">
      <c r="A386" s="40"/>
      <c r="B386" s="190" t="s">
        <v>552</v>
      </c>
      <c r="C386" s="193" t="s">
        <v>227</v>
      </c>
      <c r="D386" s="192">
        <v>459094000</v>
      </c>
      <c r="E386" s="192">
        <f>'Realisasi Nov'!G386</f>
        <v>0</v>
      </c>
      <c r="F386" s="192"/>
      <c r="G386" s="192">
        <f t="shared" ref="G386:G393" si="135">E386+F386</f>
        <v>0</v>
      </c>
      <c r="H386" s="24">
        <f>G386/D386</f>
        <v>0</v>
      </c>
      <c r="I386" s="225" t="s">
        <v>216</v>
      </c>
      <c r="J386" s="294"/>
      <c r="K386" s="295"/>
    </row>
    <row r="387" spans="1:11" s="176" customFormat="1" x14ac:dyDescent="0.25">
      <c r="A387" s="40"/>
      <c r="B387" s="190" t="s">
        <v>553</v>
      </c>
      <c r="C387" s="193" t="s">
        <v>224</v>
      </c>
      <c r="D387" s="192">
        <v>586357000</v>
      </c>
      <c r="E387" s="192">
        <f>'Realisasi Nov'!G387</f>
        <v>0</v>
      </c>
      <c r="F387" s="192"/>
      <c r="G387" s="192">
        <f t="shared" si="135"/>
        <v>0</v>
      </c>
      <c r="H387" s="24">
        <f>G387/D387</f>
        <v>0</v>
      </c>
      <c r="I387" s="225" t="s">
        <v>218</v>
      </c>
      <c r="J387" s="294"/>
      <c r="K387" s="295"/>
    </row>
    <row r="388" spans="1:11" s="176" customFormat="1" ht="18" hidden="1" customHeight="1" x14ac:dyDescent="0.25">
      <c r="A388" s="40"/>
      <c r="B388" s="52"/>
      <c r="C388" s="193" t="s">
        <v>225</v>
      </c>
      <c r="D388" s="192"/>
      <c r="E388" s="192">
        <f>'Realisasi Nov'!G388</f>
        <v>0</v>
      </c>
      <c r="F388" s="192"/>
      <c r="G388" s="192">
        <f t="shared" si="135"/>
        <v>0</v>
      </c>
      <c r="H388" s="24">
        <v>0</v>
      </c>
      <c r="I388" s="223"/>
      <c r="J388" s="294"/>
      <c r="K388" s="295"/>
    </row>
    <row r="389" spans="1:11" s="176" customFormat="1" x14ac:dyDescent="0.25">
      <c r="A389" s="40"/>
      <c r="B389" s="190" t="s">
        <v>554</v>
      </c>
      <c r="C389" s="193" t="s">
        <v>226</v>
      </c>
      <c r="D389" s="192">
        <v>113748200</v>
      </c>
      <c r="E389" s="192">
        <f>'Realisasi Nov'!G389</f>
        <v>0</v>
      </c>
      <c r="F389" s="192"/>
      <c r="G389" s="192">
        <f t="shared" si="135"/>
        <v>0</v>
      </c>
      <c r="H389" s="24">
        <f>G389/D389</f>
        <v>0</v>
      </c>
      <c r="I389" s="225" t="s">
        <v>216</v>
      </c>
      <c r="J389" s="294"/>
      <c r="K389" s="295"/>
    </row>
    <row r="390" spans="1:11" s="176" customFormat="1" x14ac:dyDescent="0.25">
      <c r="A390" s="40"/>
      <c r="B390" s="190" t="s">
        <v>386</v>
      </c>
      <c r="C390" s="193" t="s">
        <v>228</v>
      </c>
      <c r="D390" s="192">
        <v>2133477900</v>
      </c>
      <c r="E390" s="192">
        <f>'Realisasi Nov'!G390</f>
        <v>807000400</v>
      </c>
      <c r="F390" s="192">
        <v>1326478000</v>
      </c>
      <c r="G390" s="192">
        <f t="shared" si="135"/>
        <v>2133478400</v>
      </c>
      <c r="H390" s="24">
        <f>G390/D390</f>
        <v>1.0000002343591186</v>
      </c>
      <c r="I390" s="225" t="s">
        <v>216</v>
      </c>
      <c r="J390" s="294"/>
      <c r="K390" s="295"/>
    </row>
    <row r="391" spans="1:11" s="176" customFormat="1" x14ac:dyDescent="0.25">
      <c r="A391" s="40"/>
      <c r="B391" s="190"/>
      <c r="C391" s="193"/>
      <c r="D391" s="192"/>
      <c r="E391" s="192"/>
      <c r="F391" s="192"/>
      <c r="G391" s="192">
        <f t="shared" si="135"/>
        <v>0</v>
      </c>
      <c r="H391" s="24"/>
      <c r="I391" s="225"/>
      <c r="J391" s="294"/>
      <c r="K391" s="295"/>
    </row>
    <row r="392" spans="1:11" s="176" customFormat="1" x14ac:dyDescent="0.25">
      <c r="A392" s="40"/>
      <c r="B392" s="167" t="s">
        <v>53</v>
      </c>
      <c r="C392" s="35" t="s">
        <v>229</v>
      </c>
      <c r="D392" s="191">
        <f>SUM(D393)</f>
        <v>0</v>
      </c>
      <c r="E392" s="192">
        <f>'Realisasi Nov'!G392</f>
        <v>0</v>
      </c>
      <c r="F392" s="191">
        <f>SUM(F393)</f>
        <v>0</v>
      </c>
      <c r="G392" s="192">
        <f t="shared" si="135"/>
        <v>0</v>
      </c>
      <c r="H392" s="253" t="e">
        <f>G392/D392</f>
        <v>#DIV/0!</v>
      </c>
      <c r="I392" s="223"/>
      <c r="J392" s="294"/>
      <c r="K392" s="295"/>
    </row>
    <row r="393" spans="1:11" s="176" customFormat="1" x14ac:dyDescent="0.25">
      <c r="A393" s="40"/>
      <c r="B393" s="190" t="s">
        <v>387</v>
      </c>
      <c r="C393" s="193" t="s">
        <v>229</v>
      </c>
      <c r="D393" s="192">
        <v>0</v>
      </c>
      <c r="E393" s="192">
        <f>'Realisasi Nov'!G393</f>
        <v>0</v>
      </c>
      <c r="F393" s="192"/>
      <c r="G393" s="192">
        <f t="shared" si="135"/>
        <v>0</v>
      </c>
      <c r="H393" s="252" t="e">
        <f>G393/D393</f>
        <v>#DIV/0!</v>
      </c>
      <c r="I393" s="225" t="s">
        <v>216</v>
      </c>
      <c r="J393" s="294"/>
      <c r="K393" s="295"/>
    </row>
    <row r="394" spans="1:11" s="176" customFormat="1" x14ac:dyDescent="0.25">
      <c r="A394" s="40"/>
      <c r="B394" s="190"/>
      <c r="C394" s="193"/>
      <c r="D394" s="192"/>
      <c r="E394" s="192"/>
      <c r="F394" s="192"/>
      <c r="G394" s="192"/>
      <c r="H394" s="24"/>
      <c r="I394" s="225"/>
      <c r="J394" s="294"/>
      <c r="K394" s="295"/>
    </row>
    <row r="395" spans="1:11" s="176" customFormat="1" x14ac:dyDescent="0.25">
      <c r="A395" s="40"/>
      <c r="B395" s="167" t="s">
        <v>62</v>
      </c>
      <c r="C395" s="35" t="s">
        <v>230</v>
      </c>
      <c r="D395" s="191">
        <f>SUM(D396)</f>
        <v>0</v>
      </c>
      <c r="E395" s="192">
        <f>'Realisasi Nov'!G395</f>
        <v>0</v>
      </c>
      <c r="F395" s="191">
        <f t="shared" ref="F395:G395" si="136">SUM(F396)</f>
        <v>0</v>
      </c>
      <c r="G395" s="191">
        <f t="shared" si="136"/>
        <v>0</v>
      </c>
      <c r="H395" s="253" t="e">
        <f>G395/D395</f>
        <v>#DIV/0!</v>
      </c>
      <c r="I395" s="223"/>
      <c r="J395" s="294"/>
      <c r="K395" s="295"/>
    </row>
    <row r="396" spans="1:11" s="176" customFormat="1" x14ac:dyDescent="0.25">
      <c r="A396" s="40"/>
      <c r="B396" s="190" t="s">
        <v>555</v>
      </c>
      <c r="C396" s="193" t="s">
        <v>230</v>
      </c>
      <c r="D396" s="192"/>
      <c r="E396" s="192">
        <f>'Realisasi Nov'!G396</f>
        <v>0</v>
      </c>
      <c r="F396" s="192"/>
      <c r="G396" s="192">
        <f>E396+F396</f>
        <v>0</v>
      </c>
      <c r="H396" s="252" t="e">
        <f>G396/D396</f>
        <v>#DIV/0!</v>
      </c>
      <c r="I396" s="225" t="s">
        <v>216</v>
      </c>
      <c r="J396" s="294"/>
      <c r="K396" s="295"/>
    </row>
    <row r="397" spans="1:11" s="176" customFormat="1" x14ac:dyDescent="0.25">
      <c r="A397" s="40"/>
      <c r="B397" s="190"/>
      <c r="C397" s="193"/>
      <c r="D397" s="192"/>
      <c r="E397" s="192"/>
      <c r="F397" s="192"/>
      <c r="G397" s="192"/>
      <c r="H397" s="252"/>
      <c r="I397" s="225"/>
      <c r="J397" s="294"/>
      <c r="K397" s="295"/>
    </row>
    <row r="398" spans="1:11" s="176" customFormat="1" x14ac:dyDescent="0.25">
      <c r="A398" s="40"/>
      <c r="B398" s="167" t="s">
        <v>66</v>
      </c>
      <c r="C398" s="35" t="s">
        <v>231</v>
      </c>
      <c r="D398" s="191">
        <f>SUM(D399)</f>
        <v>0</v>
      </c>
      <c r="E398" s="192">
        <f>'Realisasi Nov'!G398</f>
        <v>0</v>
      </c>
      <c r="F398" s="191">
        <f t="shared" ref="F398:G398" si="137">SUM(F399)</f>
        <v>0</v>
      </c>
      <c r="G398" s="191">
        <f t="shared" si="137"/>
        <v>0</v>
      </c>
      <c r="H398" s="253" t="e">
        <f>G398/D398</f>
        <v>#DIV/0!</v>
      </c>
      <c r="I398" s="223"/>
      <c r="J398" s="294"/>
      <c r="K398" s="295"/>
    </row>
    <row r="399" spans="1:11" s="176" customFormat="1" x14ac:dyDescent="0.25">
      <c r="A399" s="40"/>
      <c r="B399" s="190" t="s">
        <v>556</v>
      </c>
      <c r="C399" s="193" t="s">
        <v>231</v>
      </c>
      <c r="D399" s="192"/>
      <c r="E399" s="192">
        <f>'Realisasi Nov'!G399</f>
        <v>0</v>
      </c>
      <c r="F399" s="192"/>
      <c r="G399" s="192">
        <f>E399+F399</f>
        <v>0</v>
      </c>
      <c r="H399" s="252" t="e">
        <f>G399/D399</f>
        <v>#DIV/0!</v>
      </c>
      <c r="I399" s="225" t="s">
        <v>216</v>
      </c>
      <c r="J399" s="294"/>
      <c r="K399" s="295"/>
    </row>
    <row r="400" spans="1:11" s="176" customFormat="1" x14ac:dyDescent="0.25">
      <c r="A400" s="40"/>
      <c r="B400" s="190"/>
      <c r="C400" s="193"/>
      <c r="D400" s="192"/>
      <c r="E400" s="192"/>
      <c r="F400" s="192"/>
      <c r="G400" s="192"/>
      <c r="H400" s="24"/>
      <c r="I400" s="225"/>
      <c r="J400" s="294"/>
      <c r="K400" s="295"/>
    </row>
    <row r="401" spans="1:11" s="176" customFormat="1" x14ac:dyDescent="0.25">
      <c r="A401" s="40"/>
      <c r="B401" s="167" t="s">
        <v>73</v>
      </c>
      <c r="C401" s="185" t="s">
        <v>232</v>
      </c>
      <c r="D401" s="191">
        <f>D402</f>
        <v>289414900</v>
      </c>
      <c r="E401" s="191">
        <f>'Realisasi Nov'!G401</f>
        <v>0</v>
      </c>
      <c r="F401" s="191">
        <f t="shared" ref="F401:G401" si="138">F402</f>
        <v>289414900</v>
      </c>
      <c r="G401" s="191">
        <f t="shared" si="138"/>
        <v>289414900</v>
      </c>
      <c r="H401" s="236">
        <f>G401/D401</f>
        <v>1</v>
      </c>
      <c r="I401" s="225"/>
      <c r="J401" s="294"/>
      <c r="K401" s="295"/>
    </row>
    <row r="402" spans="1:11" s="176" customFormat="1" x14ac:dyDescent="0.25">
      <c r="A402" s="40"/>
      <c r="B402" s="190" t="s">
        <v>557</v>
      </c>
      <c r="C402" s="183" t="s">
        <v>232</v>
      </c>
      <c r="D402" s="192">
        <v>289414900</v>
      </c>
      <c r="E402" s="192">
        <f>'Realisasi Nov'!G402</f>
        <v>0</v>
      </c>
      <c r="F402" s="192">
        <v>289414900</v>
      </c>
      <c r="G402" s="192">
        <f>E402+F402</f>
        <v>289414900</v>
      </c>
      <c r="H402" s="24">
        <f>G402/D402</f>
        <v>1</v>
      </c>
      <c r="I402" s="225" t="s">
        <v>216</v>
      </c>
      <c r="J402" s="294"/>
      <c r="K402" s="295"/>
    </row>
    <row r="403" spans="1:11" s="176" customFormat="1" x14ac:dyDescent="0.25">
      <c r="A403" s="40"/>
      <c r="B403" s="190"/>
      <c r="C403" s="183"/>
      <c r="D403" s="192"/>
      <c r="E403" s="192"/>
      <c r="F403" s="192"/>
      <c r="G403" s="192"/>
      <c r="H403" s="24"/>
      <c r="I403" s="225"/>
      <c r="J403" s="294"/>
      <c r="K403" s="295"/>
    </row>
    <row r="404" spans="1:11" s="176" customFormat="1" x14ac:dyDescent="0.25">
      <c r="A404" s="40"/>
      <c r="B404" s="167" t="s">
        <v>74</v>
      </c>
      <c r="C404" s="185" t="s">
        <v>233</v>
      </c>
      <c r="D404" s="191">
        <f>D405</f>
        <v>254403060</v>
      </c>
      <c r="E404" s="191">
        <f>'Realisasi Nov'!G404</f>
        <v>52966060</v>
      </c>
      <c r="F404" s="191">
        <f t="shared" ref="F404:G404" si="139">F405</f>
        <v>201437000</v>
      </c>
      <c r="G404" s="191">
        <f t="shared" si="139"/>
        <v>254403060</v>
      </c>
      <c r="H404" s="236">
        <f>G404/D404</f>
        <v>1</v>
      </c>
      <c r="I404" s="225"/>
      <c r="J404" s="294"/>
      <c r="K404" s="295"/>
    </row>
    <row r="405" spans="1:11" s="176" customFormat="1" x14ac:dyDescent="0.25">
      <c r="A405" s="40"/>
      <c r="B405" s="190" t="s">
        <v>558</v>
      </c>
      <c r="C405" s="183" t="s">
        <v>233</v>
      </c>
      <c r="D405" s="192">
        <v>254403060</v>
      </c>
      <c r="E405" s="192">
        <f>'Realisasi Nov'!G405</f>
        <v>52966060</v>
      </c>
      <c r="F405" s="192">
        <v>201437000</v>
      </c>
      <c r="G405" s="192">
        <f>E405+F405</f>
        <v>254403060</v>
      </c>
      <c r="H405" s="24">
        <f>G405/D405</f>
        <v>1</v>
      </c>
      <c r="I405" s="225" t="s">
        <v>216</v>
      </c>
      <c r="J405" s="294"/>
      <c r="K405" s="295"/>
    </row>
    <row r="406" spans="1:11" s="176" customFormat="1" x14ac:dyDescent="0.25">
      <c r="A406" s="40"/>
      <c r="B406" s="22"/>
      <c r="C406" s="183"/>
      <c r="D406" s="192"/>
      <c r="E406" s="192"/>
      <c r="F406" s="192"/>
      <c r="G406" s="192"/>
      <c r="H406" s="24"/>
      <c r="I406" s="225"/>
      <c r="J406" s="294"/>
      <c r="K406" s="295"/>
    </row>
    <row r="407" spans="1:11" s="176" customFormat="1" x14ac:dyDescent="0.25">
      <c r="A407" s="40"/>
      <c r="B407" s="167" t="s">
        <v>81</v>
      </c>
      <c r="C407" s="185" t="s">
        <v>234</v>
      </c>
      <c r="D407" s="191">
        <f>D408</f>
        <v>752600000</v>
      </c>
      <c r="E407" s="191">
        <f>'Realisasi Nov'!G407</f>
        <v>376300000</v>
      </c>
      <c r="F407" s="191">
        <f t="shared" ref="F407:G407" si="140">F408</f>
        <v>376300000</v>
      </c>
      <c r="G407" s="191">
        <f t="shared" si="140"/>
        <v>752600000</v>
      </c>
      <c r="H407" s="236">
        <f>G407/D407</f>
        <v>1</v>
      </c>
      <c r="I407" s="225"/>
      <c r="J407" s="294"/>
      <c r="K407" s="295"/>
    </row>
    <row r="408" spans="1:11" s="176" customFormat="1" x14ac:dyDescent="0.25">
      <c r="A408" s="40"/>
      <c r="B408" s="190" t="s">
        <v>559</v>
      </c>
      <c r="C408" s="183" t="s">
        <v>234</v>
      </c>
      <c r="D408" s="192">
        <v>752600000</v>
      </c>
      <c r="E408" s="192">
        <f>'Realisasi Nov'!G408</f>
        <v>376300000</v>
      </c>
      <c r="F408" s="192">
        <v>376300000</v>
      </c>
      <c r="G408" s="192">
        <f>E408+F408</f>
        <v>752600000</v>
      </c>
      <c r="H408" s="24">
        <f>G408/D408</f>
        <v>1</v>
      </c>
      <c r="I408" s="225" t="s">
        <v>216</v>
      </c>
      <c r="J408" s="294"/>
      <c r="K408" s="295"/>
    </row>
    <row r="409" spans="1:11" s="176" customFormat="1" x14ac:dyDescent="0.25">
      <c r="A409" s="40"/>
      <c r="B409" s="22"/>
      <c r="C409" s="183"/>
      <c r="D409" s="192"/>
      <c r="E409" s="192"/>
      <c r="F409" s="192"/>
      <c r="G409" s="191"/>
      <c r="H409" s="236"/>
      <c r="I409" s="223"/>
      <c r="J409" s="294"/>
      <c r="K409" s="295"/>
    </row>
    <row r="410" spans="1:11" s="176" customFormat="1" x14ac:dyDescent="0.25">
      <c r="A410" s="132" t="s">
        <v>91</v>
      </c>
      <c r="B410" s="133" t="s">
        <v>396</v>
      </c>
      <c r="C410" s="130" t="s">
        <v>236</v>
      </c>
      <c r="D410" s="131">
        <f>D411</f>
        <v>20360896000</v>
      </c>
      <c r="E410" s="131">
        <f>E411</f>
        <v>8863324000</v>
      </c>
      <c r="F410" s="131">
        <f t="shared" ref="F410:G411" si="141">F411</f>
        <v>11497572000</v>
      </c>
      <c r="G410" s="131">
        <f t="shared" si="141"/>
        <v>20360896000</v>
      </c>
      <c r="H410" s="239">
        <f>G410/D410</f>
        <v>1</v>
      </c>
      <c r="I410" s="225" t="s">
        <v>237</v>
      </c>
      <c r="J410" s="294"/>
      <c r="K410" s="295"/>
    </row>
    <row r="411" spans="1:11" s="176" customFormat="1" x14ac:dyDescent="0.25">
      <c r="A411" s="122"/>
      <c r="B411" s="189" t="s">
        <v>397</v>
      </c>
      <c r="C411" s="35" t="s">
        <v>236</v>
      </c>
      <c r="D411" s="121">
        <f>D412</f>
        <v>20360896000</v>
      </c>
      <c r="E411" s="121">
        <f>E412</f>
        <v>8863324000</v>
      </c>
      <c r="F411" s="121">
        <f t="shared" si="141"/>
        <v>11497572000</v>
      </c>
      <c r="G411" s="121">
        <f t="shared" si="141"/>
        <v>20360896000</v>
      </c>
      <c r="H411" s="236">
        <f>G411/D411</f>
        <v>1</v>
      </c>
      <c r="I411" s="225"/>
      <c r="J411" s="294"/>
      <c r="K411" s="295"/>
    </row>
    <row r="412" spans="1:11" s="176" customFormat="1" x14ac:dyDescent="0.25">
      <c r="A412" s="40"/>
      <c r="B412" s="189" t="s">
        <v>560</v>
      </c>
      <c r="C412" s="35" t="s">
        <v>236</v>
      </c>
      <c r="D412" s="121">
        <v>20360896000</v>
      </c>
      <c r="E412" s="121">
        <f>'Realisasi Nov'!G412</f>
        <v>8863324000</v>
      </c>
      <c r="F412" s="121">
        <v>11497572000</v>
      </c>
      <c r="G412" s="191">
        <f>E412+F412</f>
        <v>20360896000</v>
      </c>
      <c r="H412" s="236">
        <f>G412/D412</f>
        <v>1</v>
      </c>
      <c r="I412" s="223"/>
      <c r="J412" s="294"/>
      <c r="K412" s="295"/>
    </row>
    <row r="413" spans="1:11" s="176" customFormat="1" ht="30" x14ac:dyDescent="0.25">
      <c r="A413" s="40"/>
      <c r="B413" s="178"/>
      <c r="C413" s="54" t="s">
        <v>238</v>
      </c>
      <c r="D413" s="55"/>
      <c r="E413" s="55"/>
      <c r="F413" s="55"/>
      <c r="G413" s="192">
        <f>F413-D413</f>
        <v>0</v>
      </c>
      <c r="H413" s="24"/>
      <c r="I413" s="225"/>
      <c r="J413" s="294"/>
      <c r="K413" s="295"/>
    </row>
    <row r="414" spans="1:11" s="176" customFormat="1" ht="30" x14ac:dyDescent="0.25">
      <c r="A414" s="40"/>
      <c r="B414" s="178"/>
      <c r="C414" s="54" t="s">
        <v>239</v>
      </c>
      <c r="D414" s="55"/>
      <c r="E414" s="55"/>
      <c r="F414" s="55"/>
      <c r="G414" s="192">
        <f>F414-D414</f>
        <v>0</v>
      </c>
      <c r="H414" s="24"/>
      <c r="I414" s="225"/>
      <c r="J414" s="294"/>
      <c r="K414" s="295"/>
    </row>
    <row r="415" spans="1:11" s="176" customFormat="1" ht="30" x14ac:dyDescent="0.25">
      <c r="A415" s="40"/>
      <c r="B415" s="178"/>
      <c r="C415" s="54" t="s">
        <v>240</v>
      </c>
      <c r="D415" s="55"/>
      <c r="E415" s="55"/>
      <c r="F415" s="55"/>
      <c r="G415" s="192">
        <f>F415-D415</f>
        <v>0</v>
      </c>
      <c r="H415" s="24"/>
      <c r="I415" s="225"/>
      <c r="J415" s="294"/>
      <c r="K415" s="295"/>
    </row>
    <row r="416" spans="1:11" s="176" customFormat="1" x14ac:dyDescent="0.25">
      <c r="A416" s="56"/>
      <c r="B416" s="57"/>
      <c r="C416" s="58"/>
      <c r="D416" s="192"/>
      <c r="E416" s="192"/>
      <c r="F416" s="192"/>
      <c r="G416" s="191"/>
      <c r="H416" s="236"/>
      <c r="I416" s="228"/>
      <c r="J416" s="294"/>
      <c r="K416" s="295"/>
    </row>
    <row r="417" spans="1:11" s="176" customFormat="1" ht="25.5" customHeight="1" x14ac:dyDescent="0.25">
      <c r="A417" s="134" t="s">
        <v>417</v>
      </c>
      <c r="B417" s="135" t="s">
        <v>398</v>
      </c>
      <c r="C417" s="136" t="s">
        <v>399</v>
      </c>
      <c r="D417" s="137">
        <f>SUM(D418+D431)</f>
        <v>145013445488.33002</v>
      </c>
      <c r="E417" s="137">
        <f t="shared" ref="E417:G417" si="142">SUM(E418+E431)</f>
        <v>118778911451</v>
      </c>
      <c r="F417" s="137">
        <f t="shared" si="142"/>
        <v>8694792967</v>
      </c>
      <c r="G417" s="137">
        <f t="shared" si="142"/>
        <v>127473704418</v>
      </c>
      <c r="H417" s="238">
        <f t="shared" ref="H417:H429" si="143">G417/D417</f>
        <v>0.87904748410559264</v>
      </c>
      <c r="I417" s="229"/>
      <c r="J417" s="294"/>
      <c r="K417" s="295"/>
    </row>
    <row r="418" spans="1:11" s="176" customFormat="1" ht="25.5" customHeight="1" x14ac:dyDescent="0.25">
      <c r="A418" s="169" t="s">
        <v>426</v>
      </c>
      <c r="B418" s="189" t="s">
        <v>400</v>
      </c>
      <c r="C418" s="185" t="s">
        <v>401</v>
      </c>
      <c r="D418" s="191">
        <f>D419</f>
        <v>135038655888.33</v>
      </c>
      <c r="E418" s="191">
        <f t="shared" ref="E418:G418" si="144">E419</f>
        <v>111260911451</v>
      </c>
      <c r="F418" s="191">
        <f t="shared" si="144"/>
        <v>7796542967</v>
      </c>
      <c r="G418" s="191">
        <f t="shared" si="144"/>
        <v>119057454418</v>
      </c>
      <c r="H418" s="236">
        <f t="shared" si="143"/>
        <v>0.88165461685618651</v>
      </c>
      <c r="I418" s="230"/>
      <c r="J418" s="294"/>
      <c r="K418" s="295"/>
    </row>
    <row r="419" spans="1:11" s="176" customFormat="1" ht="25.5" customHeight="1" x14ac:dyDescent="0.25">
      <c r="A419" s="169"/>
      <c r="B419" s="189" t="s">
        <v>402</v>
      </c>
      <c r="C419" s="185" t="s">
        <v>403</v>
      </c>
      <c r="D419" s="191">
        <f>SUM(D420:D429)</f>
        <v>135038655888.33</v>
      </c>
      <c r="E419" s="191">
        <f>SUM(E420:E429)</f>
        <v>111260911451</v>
      </c>
      <c r="F419" s="191">
        <f t="shared" ref="F419:G419" si="145">SUM(F420:F429)</f>
        <v>7796542967</v>
      </c>
      <c r="G419" s="191">
        <f t="shared" si="145"/>
        <v>119057454418</v>
      </c>
      <c r="H419" s="236">
        <f t="shared" si="143"/>
        <v>0.88165461685618651</v>
      </c>
      <c r="I419" s="230"/>
      <c r="J419" s="294"/>
      <c r="K419" s="295"/>
    </row>
    <row r="420" spans="1:11" s="176" customFormat="1" ht="25.5" customHeight="1" x14ac:dyDescent="0.25">
      <c r="A420" s="184" t="s">
        <v>89</v>
      </c>
      <c r="B420" s="190" t="s">
        <v>561</v>
      </c>
      <c r="C420" s="183" t="s">
        <v>244</v>
      </c>
      <c r="D420" s="178">
        <v>32206000000</v>
      </c>
      <c r="E420" s="178">
        <f>'Realisasi Nov'!G420</f>
        <v>20281381888</v>
      </c>
      <c r="F420" s="178"/>
      <c r="G420" s="192">
        <f>E420+F420</f>
        <v>20281381888</v>
      </c>
      <c r="H420" s="24">
        <f t="shared" si="143"/>
        <v>0.62973923765757933</v>
      </c>
      <c r="I420" s="231"/>
      <c r="J420" s="294"/>
      <c r="K420" s="295"/>
    </row>
    <row r="421" spans="1:11" s="176" customFormat="1" ht="25.5" customHeight="1" x14ac:dyDescent="0.25">
      <c r="A421" s="188"/>
      <c r="B421" s="178"/>
      <c r="C421" s="193" t="s">
        <v>664</v>
      </c>
      <c r="D421" s="55">
        <v>2690492585</v>
      </c>
      <c r="E421" s="178">
        <f>'Realisasi Nov'!G421</f>
        <v>2690492585</v>
      </c>
      <c r="F421" s="55"/>
      <c r="G421" s="192">
        <f t="shared" ref="G421:G429" si="146">E421+F421</f>
        <v>2690492585</v>
      </c>
      <c r="H421" s="24">
        <f t="shared" si="143"/>
        <v>1</v>
      </c>
      <c r="I421" s="231"/>
      <c r="J421" s="294"/>
      <c r="K421" s="295"/>
    </row>
    <row r="422" spans="1:11" s="176" customFormat="1" ht="25.5" customHeight="1" x14ac:dyDescent="0.25">
      <c r="A422" s="184" t="s">
        <v>91</v>
      </c>
      <c r="B422" s="190" t="s">
        <v>562</v>
      </c>
      <c r="C422" s="183" t="s">
        <v>245</v>
      </c>
      <c r="D422" s="178">
        <v>17327982563</v>
      </c>
      <c r="E422" s="178">
        <f>'Realisasi Nov'!G422</f>
        <v>16644187775</v>
      </c>
      <c r="F422" s="178">
        <v>3272749053</v>
      </c>
      <c r="G422" s="192">
        <f t="shared" si="146"/>
        <v>19916936828</v>
      </c>
      <c r="H422" s="24">
        <f t="shared" si="143"/>
        <v>1.1494088683196235</v>
      </c>
      <c r="I422" s="231"/>
      <c r="J422" s="294"/>
      <c r="K422" s="295"/>
    </row>
    <row r="423" spans="1:11" s="176" customFormat="1" ht="25.5" customHeight="1" x14ac:dyDescent="0.25">
      <c r="A423" s="188"/>
      <c r="B423" s="178"/>
      <c r="C423" s="193" t="s">
        <v>665</v>
      </c>
      <c r="D423" s="55">
        <v>2504702813</v>
      </c>
      <c r="E423" s="178">
        <f>'Realisasi Nov'!G423</f>
        <v>2004702813</v>
      </c>
      <c r="F423" s="55"/>
      <c r="G423" s="192">
        <f t="shared" si="146"/>
        <v>2004702813</v>
      </c>
      <c r="H423" s="24">
        <f t="shared" si="143"/>
        <v>0.80037551864241863</v>
      </c>
      <c r="I423" s="232"/>
      <c r="J423" s="294"/>
      <c r="K423" s="295"/>
    </row>
    <row r="424" spans="1:11" s="176" customFormat="1" ht="25.5" customHeight="1" x14ac:dyDescent="0.25">
      <c r="A424" s="184" t="s">
        <v>72</v>
      </c>
      <c r="B424" s="190" t="s">
        <v>563</v>
      </c>
      <c r="C424" s="183" t="s">
        <v>246</v>
      </c>
      <c r="D424" s="178">
        <v>52123540857</v>
      </c>
      <c r="E424" s="178">
        <f>'Realisasi Nov'!G424</f>
        <v>44545032005</v>
      </c>
      <c r="F424" s="178"/>
      <c r="G424" s="192">
        <f t="shared" si="146"/>
        <v>44545032005</v>
      </c>
      <c r="H424" s="24">
        <f t="shared" si="143"/>
        <v>0.85460487281952879</v>
      </c>
      <c r="I424" s="232"/>
      <c r="J424" s="294"/>
      <c r="K424" s="295"/>
    </row>
    <row r="425" spans="1:11" s="176" customFormat="1" ht="25.5" customHeight="1" x14ac:dyDescent="0.25">
      <c r="A425" s="188"/>
      <c r="B425" s="178"/>
      <c r="C425" s="193" t="s">
        <v>666</v>
      </c>
      <c r="D425" s="55">
        <v>4867170924</v>
      </c>
      <c r="E425" s="178">
        <f>'Realisasi Nov'!G425</f>
        <v>4867170924</v>
      </c>
      <c r="F425" s="55"/>
      <c r="G425" s="192">
        <f t="shared" si="146"/>
        <v>4867170924</v>
      </c>
      <c r="H425" s="24">
        <f t="shared" si="143"/>
        <v>1</v>
      </c>
      <c r="I425" s="231"/>
      <c r="J425" s="294"/>
      <c r="K425" s="295"/>
    </row>
    <row r="426" spans="1:11" s="176" customFormat="1" ht="25.5" customHeight="1" x14ac:dyDescent="0.25">
      <c r="A426" s="184" t="s">
        <v>168</v>
      </c>
      <c r="B426" s="190" t="s">
        <v>564</v>
      </c>
      <c r="C426" s="183" t="s">
        <v>247</v>
      </c>
      <c r="D426" s="192">
        <v>4416983951</v>
      </c>
      <c r="E426" s="178">
        <f>'Realisasi Nov'!G426</f>
        <v>835481531</v>
      </c>
      <c r="F426" s="192">
        <v>202300935</v>
      </c>
      <c r="G426" s="192">
        <f t="shared" si="146"/>
        <v>1037782466</v>
      </c>
      <c r="H426" s="24">
        <f t="shared" si="143"/>
        <v>0.2349527364175836</v>
      </c>
      <c r="I426" s="233"/>
      <c r="J426" s="294"/>
      <c r="K426" s="295"/>
    </row>
    <row r="427" spans="1:11" s="176" customFormat="1" ht="25.5" customHeight="1" x14ac:dyDescent="0.25">
      <c r="A427" s="188"/>
      <c r="B427" s="178"/>
      <c r="C427" s="193" t="s">
        <v>667</v>
      </c>
      <c r="D427" s="55">
        <v>94357303</v>
      </c>
      <c r="E427" s="178">
        <f>'Realisasi Nov'!G427</f>
        <v>94357303</v>
      </c>
      <c r="F427" s="55"/>
      <c r="G427" s="192">
        <f t="shared" si="146"/>
        <v>94357303</v>
      </c>
      <c r="H427" s="24">
        <f t="shared" si="143"/>
        <v>1</v>
      </c>
      <c r="I427" s="232"/>
      <c r="J427" s="294"/>
      <c r="K427" s="295"/>
    </row>
    <row r="428" spans="1:11" s="176" customFormat="1" ht="25.5" customHeight="1" x14ac:dyDescent="0.25">
      <c r="A428" s="184" t="s">
        <v>404</v>
      </c>
      <c r="B428" s="190" t="s">
        <v>565</v>
      </c>
      <c r="C428" s="183" t="s">
        <v>248</v>
      </c>
      <c r="D428" s="178">
        <v>18807424892.330002</v>
      </c>
      <c r="E428" s="178">
        <f>'Realisasi Nov'!G428</f>
        <v>16358042263</v>
      </c>
      <c r="F428" s="178">
        <v>4321492979</v>
      </c>
      <c r="G428" s="192">
        <f t="shared" si="146"/>
        <v>20679535242</v>
      </c>
      <c r="H428" s="24">
        <f t="shared" si="143"/>
        <v>1.0995410249083848</v>
      </c>
      <c r="I428" s="232"/>
      <c r="J428" s="294"/>
      <c r="K428" s="295"/>
    </row>
    <row r="429" spans="1:11" s="176" customFormat="1" ht="25.5" customHeight="1" x14ac:dyDescent="0.25">
      <c r="A429" s="188"/>
      <c r="B429" s="178"/>
      <c r="C429" s="193" t="s">
        <v>668</v>
      </c>
      <c r="D429" s="55"/>
      <c r="E429" s="178">
        <f>'Realisasi Nov'!G429</f>
        <v>2940062364</v>
      </c>
      <c r="F429" s="55"/>
      <c r="G429" s="192">
        <f t="shared" si="146"/>
        <v>2940062364</v>
      </c>
      <c r="H429" s="252" t="e">
        <f t="shared" si="143"/>
        <v>#DIV/0!</v>
      </c>
      <c r="I429" s="231"/>
      <c r="J429" s="294"/>
      <c r="K429" s="295"/>
    </row>
    <row r="430" spans="1:11" s="176" customFormat="1" ht="25.5" customHeight="1" x14ac:dyDescent="0.25">
      <c r="A430" s="188"/>
      <c r="B430" s="178"/>
      <c r="C430" s="193"/>
      <c r="D430" s="55"/>
      <c r="E430" s="55"/>
      <c r="F430" s="55"/>
      <c r="G430" s="192"/>
      <c r="H430" s="24"/>
      <c r="I430" s="231"/>
      <c r="J430" s="294"/>
      <c r="K430" s="295"/>
    </row>
    <row r="431" spans="1:11" s="176" customFormat="1" ht="25.5" customHeight="1" x14ac:dyDescent="0.25">
      <c r="A431" s="169" t="s">
        <v>163</v>
      </c>
      <c r="B431" s="189" t="s">
        <v>425</v>
      </c>
      <c r="C431" s="185" t="s">
        <v>428</v>
      </c>
      <c r="D431" s="53">
        <f>SUM(D432+D434)</f>
        <v>9974789600</v>
      </c>
      <c r="E431" s="53">
        <f>E434</f>
        <v>7518000000</v>
      </c>
      <c r="F431" s="53">
        <f t="shared" ref="F431:G431" si="147">SUM(F432+F434)</f>
        <v>898250000</v>
      </c>
      <c r="G431" s="53">
        <f t="shared" si="147"/>
        <v>8416250000</v>
      </c>
      <c r="H431" s="236">
        <f>G431/D431</f>
        <v>0.84375213287706841</v>
      </c>
      <c r="I431" s="231"/>
      <c r="J431" s="294"/>
      <c r="K431" s="295"/>
    </row>
    <row r="432" spans="1:11" s="176" customFormat="1" ht="25.5" customHeight="1" x14ac:dyDescent="0.25">
      <c r="A432" s="188"/>
      <c r="B432" s="189" t="s">
        <v>429</v>
      </c>
      <c r="C432" s="185" t="s">
        <v>430</v>
      </c>
      <c r="D432" s="55">
        <f>D433</f>
        <v>0</v>
      </c>
      <c r="E432" s="55"/>
      <c r="F432" s="55">
        <f>F433</f>
        <v>0</v>
      </c>
      <c r="G432" s="192">
        <f>F432-D432</f>
        <v>0</v>
      </c>
      <c r="H432" s="24"/>
      <c r="I432" s="231"/>
      <c r="J432" s="294"/>
      <c r="K432" s="295"/>
    </row>
    <row r="433" spans="1:11" s="176" customFormat="1" ht="25.5" customHeight="1" x14ac:dyDescent="0.25">
      <c r="A433" s="188"/>
      <c r="B433" s="189" t="s">
        <v>431</v>
      </c>
      <c r="C433" s="185" t="s">
        <v>432</v>
      </c>
      <c r="D433" s="55"/>
      <c r="E433" s="55"/>
      <c r="F433" s="55"/>
      <c r="G433" s="192">
        <f>F433-D433</f>
        <v>0</v>
      </c>
      <c r="H433" s="24"/>
      <c r="I433" s="231"/>
      <c r="J433" s="294"/>
      <c r="K433" s="295"/>
    </row>
    <row r="434" spans="1:11" s="176" customFormat="1" ht="25.5" customHeight="1" x14ac:dyDescent="0.25">
      <c r="A434" s="188"/>
      <c r="B434" s="189" t="s">
        <v>433</v>
      </c>
      <c r="C434" s="185" t="s">
        <v>434</v>
      </c>
      <c r="D434" s="53">
        <f>D435+D437+D438</f>
        <v>9974789600</v>
      </c>
      <c r="E434" s="53">
        <f>E435</f>
        <v>7518000000</v>
      </c>
      <c r="F434" s="53">
        <f t="shared" ref="F434:G434" si="148">F435</f>
        <v>898250000</v>
      </c>
      <c r="G434" s="53">
        <f t="shared" si="148"/>
        <v>8416250000</v>
      </c>
      <c r="H434" s="236">
        <f t="shared" ref="H434:H448" si="149">G434/D434</f>
        <v>0.84375213287706841</v>
      </c>
      <c r="I434" s="231"/>
      <c r="J434" s="294"/>
      <c r="K434" s="295"/>
    </row>
    <row r="435" spans="1:11" s="176" customFormat="1" ht="25.5" customHeight="1" x14ac:dyDescent="0.25">
      <c r="A435" s="188"/>
      <c r="B435" s="189" t="s">
        <v>566</v>
      </c>
      <c r="C435" s="185" t="s">
        <v>445</v>
      </c>
      <c r="D435" s="53">
        <v>9974789600</v>
      </c>
      <c r="E435" s="53">
        <f>SUM(E436:E438)</f>
        <v>7518000000</v>
      </c>
      <c r="F435" s="53">
        <f t="shared" ref="F435:G435" si="150">SUM(F436:F438)</f>
        <v>898250000</v>
      </c>
      <c r="G435" s="53">
        <f t="shared" si="150"/>
        <v>8416250000</v>
      </c>
      <c r="H435" s="236">
        <f t="shared" si="149"/>
        <v>0.84375213287706841</v>
      </c>
      <c r="I435" s="231"/>
      <c r="J435" s="294"/>
      <c r="K435" s="295"/>
    </row>
    <row r="436" spans="1:11" s="176" customFormat="1" ht="25.5" customHeight="1" x14ac:dyDescent="0.25">
      <c r="A436" s="188"/>
      <c r="B436" s="189"/>
      <c r="C436" s="35" t="s">
        <v>602</v>
      </c>
      <c r="D436" s="53"/>
      <c r="E436" s="53">
        <f>'Realisasi Nov'!G436</f>
        <v>4628000000</v>
      </c>
      <c r="F436" s="53">
        <v>898250000</v>
      </c>
      <c r="G436" s="191">
        <f>E436+F436</f>
        <v>5526250000</v>
      </c>
      <c r="H436" s="253" t="e">
        <f t="shared" si="149"/>
        <v>#DIV/0!</v>
      </c>
      <c r="I436" s="231"/>
      <c r="J436" s="294"/>
      <c r="K436" s="295"/>
    </row>
    <row r="437" spans="1:11" s="176" customFormat="1" ht="25.5" customHeight="1" x14ac:dyDescent="0.25">
      <c r="A437" s="188"/>
      <c r="B437" s="189"/>
      <c r="C437" s="35" t="s">
        <v>603</v>
      </c>
      <c r="D437" s="53"/>
      <c r="E437" s="53">
        <f>'Realisasi Nov'!G437</f>
        <v>420000000</v>
      </c>
      <c r="F437" s="53"/>
      <c r="G437" s="191">
        <f t="shared" ref="G437:G440" si="151">E437+F437</f>
        <v>420000000</v>
      </c>
      <c r="H437" s="253" t="e">
        <f t="shared" si="149"/>
        <v>#DIV/0!</v>
      </c>
      <c r="I437" s="231"/>
      <c r="J437" s="294"/>
      <c r="K437" s="295"/>
    </row>
    <row r="438" spans="1:11" s="176" customFormat="1" ht="25.5" customHeight="1" x14ac:dyDescent="0.25">
      <c r="A438" s="188"/>
      <c r="B438" s="189"/>
      <c r="C438" s="35" t="s">
        <v>604</v>
      </c>
      <c r="D438" s="53">
        <f>SUM(D439:D440)</f>
        <v>0</v>
      </c>
      <c r="E438" s="53">
        <f>'Realisasi Nov'!G438</f>
        <v>2470000000</v>
      </c>
      <c r="F438" s="53">
        <f t="shared" ref="F438" si="152">SUM(F439:F440)</f>
        <v>0</v>
      </c>
      <c r="G438" s="191">
        <f t="shared" si="151"/>
        <v>2470000000</v>
      </c>
      <c r="H438" s="253" t="e">
        <f t="shared" si="149"/>
        <v>#DIV/0!</v>
      </c>
      <c r="I438" s="231"/>
      <c r="J438" s="294"/>
      <c r="K438" s="295"/>
    </row>
    <row r="439" spans="1:11" s="176" customFormat="1" ht="25.5" customHeight="1" x14ac:dyDescent="0.25">
      <c r="A439" s="188"/>
      <c r="B439" s="189"/>
      <c r="C439" s="193" t="s">
        <v>605</v>
      </c>
      <c r="D439" s="55"/>
      <c r="E439" s="55"/>
      <c r="F439" s="55"/>
      <c r="G439" s="191">
        <f t="shared" si="151"/>
        <v>0</v>
      </c>
      <c r="H439" s="252" t="e">
        <f t="shared" si="149"/>
        <v>#DIV/0!</v>
      </c>
      <c r="I439" s="231"/>
      <c r="J439" s="294"/>
      <c r="K439" s="295"/>
    </row>
    <row r="440" spans="1:11" s="176" customFormat="1" ht="25.5" customHeight="1" x14ac:dyDescent="0.25">
      <c r="A440" s="188"/>
      <c r="B440" s="178"/>
      <c r="C440" s="193" t="s">
        <v>606</v>
      </c>
      <c r="D440" s="55"/>
      <c r="E440" s="55"/>
      <c r="F440" s="55"/>
      <c r="G440" s="191">
        <f t="shared" si="151"/>
        <v>0</v>
      </c>
      <c r="H440" s="252" t="e">
        <f t="shared" si="149"/>
        <v>#DIV/0!</v>
      </c>
      <c r="I440" s="231"/>
      <c r="J440" s="294"/>
      <c r="K440" s="295"/>
    </row>
    <row r="441" spans="1:11" s="176" customFormat="1" ht="25.5" customHeight="1" x14ac:dyDescent="0.25">
      <c r="A441" s="129" t="s">
        <v>241</v>
      </c>
      <c r="B441" s="128" t="s">
        <v>242</v>
      </c>
      <c r="C441" s="41" t="s">
        <v>243</v>
      </c>
      <c r="D441" s="42">
        <f>D442</f>
        <v>0</v>
      </c>
      <c r="E441" s="42"/>
      <c r="F441" s="42">
        <f t="shared" ref="F441:G442" si="153">F442</f>
        <v>0</v>
      </c>
      <c r="G441" s="42">
        <f t="shared" si="153"/>
        <v>0</v>
      </c>
      <c r="H441" s="390" t="e">
        <f t="shared" si="149"/>
        <v>#DIV/0!</v>
      </c>
      <c r="I441" s="231"/>
      <c r="J441" s="294"/>
      <c r="K441" s="295"/>
    </row>
    <row r="442" spans="1:11" s="176" customFormat="1" ht="41.25" customHeight="1" x14ac:dyDescent="0.25">
      <c r="A442" s="168" t="s">
        <v>166</v>
      </c>
      <c r="B442" s="189" t="s">
        <v>418</v>
      </c>
      <c r="C442" s="30" t="s">
        <v>419</v>
      </c>
      <c r="D442" s="191">
        <f>D443</f>
        <v>0</v>
      </c>
      <c r="E442" s="191"/>
      <c r="F442" s="191">
        <f t="shared" si="153"/>
        <v>0</v>
      </c>
      <c r="G442" s="191">
        <f t="shared" si="153"/>
        <v>0</v>
      </c>
      <c r="H442" s="253" t="e">
        <f t="shared" si="149"/>
        <v>#DIV/0!</v>
      </c>
      <c r="I442" s="231"/>
      <c r="J442" s="294"/>
      <c r="K442" s="295"/>
    </row>
    <row r="443" spans="1:11" s="176" customFormat="1" ht="25.5" customHeight="1" x14ac:dyDescent="0.25">
      <c r="A443" s="169"/>
      <c r="B443" s="189" t="s">
        <v>420</v>
      </c>
      <c r="C443" s="185" t="s">
        <v>421</v>
      </c>
      <c r="D443" s="191">
        <f>D444+D458</f>
        <v>0</v>
      </c>
      <c r="E443" s="191"/>
      <c r="F443" s="191">
        <f t="shared" ref="F443:G443" si="154">F444+F458</f>
        <v>0</v>
      </c>
      <c r="G443" s="191">
        <f t="shared" si="154"/>
        <v>0</v>
      </c>
      <c r="H443" s="253" t="e">
        <f t="shared" si="149"/>
        <v>#DIV/0!</v>
      </c>
      <c r="I443" s="231"/>
      <c r="J443" s="294"/>
      <c r="K443" s="295"/>
    </row>
    <row r="444" spans="1:11" s="176" customFormat="1" ht="25.5" customHeight="1" x14ac:dyDescent="0.25">
      <c r="A444" s="168" t="s">
        <v>89</v>
      </c>
      <c r="B444" s="189" t="s">
        <v>422</v>
      </c>
      <c r="C444" s="185" t="s">
        <v>423</v>
      </c>
      <c r="D444" s="191">
        <f>D445</f>
        <v>0</v>
      </c>
      <c r="E444" s="191"/>
      <c r="F444" s="191">
        <f t="shared" ref="F444:G444" si="155">F445</f>
        <v>0</v>
      </c>
      <c r="G444" s="191">
        <f t="shared" si="155"/>
        <v>0</v>
      </c>
      <c r="H444" s="253" t="e">
        <f t="shared" si="149"/>
        <v>#DIV/0!</v>
      </c>
      <c r="I444" s="231"/>
      <c r="J444" s="294"/>
      <c r="K444" s="295"/>
    </row>
    <row r="445" spans="1:11" s="176" customFormat="1" ht="25.5" customHeight="1" x14ac:dyDescent="0.25">
      <c r="A445" s="169"/>
      <c r="B445" s="190" t="s">
        <v>424</v>
      </c>
      <c r="C445" s="183" t="s">
        <v>423</v>
      </c>
      <c r="D445" s="192"/>
      <c r="E445" s="192"/>
      <c r="F445" s="192"/>
      <c r="G445" s="192">
        <f>E445+F445</f>
        <v>0</v>
      </c>
      <c r="H445" s="252" t="e">
        <f t="shared" si="149"/>
        <v>#DIV/0!</v>
      </c>
      <c r="I445" s="231"/>
      <c r="J445" s="294"/>
      <c r="K445" s="295"/>
    </row>
    <row r="446" spans="1:11" s="176" customFormat="1" ht="25.5" customHeight="1" x14ac:dyDescent="0.25">
      <c r="A446" s="169"/>
      <c r="B446" s="190"/>
      <c r="C446" s="193" t="s">
        <v>607</v>
      </c>
      <c r="D446" s="192"/>
      <c r="E446" s="192"/>
      <c r="F446" s="192"/>
      <c r="G446" s="192"/>
      <c r="H446" s="252" t="e">
        <f t="shared" si="149"/>
        <v>#DIV/0!</v>
      </c>
      <c r="I446" s="231"/>
      <c r="J446" s="294"/>
      <c r="K446" s="295"/>
    </row>
    <row r="447" spans="1:11" s="176" customFormat="1" ht="25.5" customHeight="1" x14ac:dyDescent="0.25">
      <c r="A447" s="169"/>
      <c r="B447" s="190"/>
      <c r="C447" s="193" t="s">
        <v>608</v>
      </c>
      <c r="D447" s="192"/>
      <c r="E447" s="192"/>
      <c r="F447" s="192"/>
      <c r="G447" s="192"/>
      <c r="H447" s="252" t="e">
        <f t="shared" si="149"/>
        <v>#DIV/0!</v>
      </c>
      <c r="I447" s="231"/>
      <c r="J447" s="294"/>
      <c r="K447" s="295"/>
    </row>
    <row r="448" spans="1:11" s="176" customFormat="1" ht="25.5" customHeight="1" x14ac:dyDescent="0.25">
      <c r="A448" s="169"/>
      <c r="B448" s="190"/>
      <c r="C448" s="193" t="s">
        <v>609</v>
      </c>
      <c r="D448" s="192"/>
      <c r="E448" s="192"/>
      <c r="F448" s="192"/>
      <c r="G448" s="192"/>
      <c r="H448" s="252" t="e">
        <f t="shared" si="149"/>
        <v>#DIV/0!</v>
      </c>
      <c r="I448" s="231"/>
      <c r="J448" s="294"/>
      <c r="K448" s="295"/>
    </row>
    <row r="449" spans="1:11" s="176" customFormat="1" ht="25.5" customHeight="1" x14ac:dyDescent="0.25">
      <c r="A449" s="169"/>
      <c r="B449" s="190"/>
      <c r="C449" s="183" t="s">
        <v>610</v>
      </c>
      <c r="D449" s="192"/>
      <c r="E449" s="192"/>
      <c r="F449" s="192"/>
      <c r="G449" s="192"/>
      <c r="H449" s="24"/>
      <c r="I449" s="231"/>
      <c r="J449" s="294"/>
      <c r="K449" s="295"/>
    </row>
    <row r="450" spans="1:11" s="176" customFormat="1" ht="25.5" customHeight="1" x14ac:dyDescent="0.25">
      <c r="A450" s="169"/>
      <c r="B450" s="190"/>
      <c r="C450" s="183" t="s">
        <v>611</v>
      </c>
      <c r="D450" s="192"/>
      <c r="E450" s="192"/>
      <c r="F450" s="192"/>
      <c r="G450" s="192"/>
      <c r="H450" s="24"/>
      <c r="I450" s="231"/>
      <c r="J450" s="294"/>
      <c r="K450" s="295"/>
    </row>
    <row r="451" spans="1:11" s="176" customFormat="1" ht="25.5" customHeight="1" x14ac:dyDescent="0.25">
      <c r="A451" s="169"/>
      <c r="B451" s="190"/>
      <c r="C451" s="183" t="s">
        <v>612</v>
      </c>
      <c r="D451" s="192"/>
      <c r="E451" s="192"/>
      <c r="F451" s="192"/>
      <c r="G451" s="192"/>
      <c r="H451" s="24"/>
      <c r="I451" s="231"/>
      <c r="J451" s="294"/>
      <c r="K451" s="295"/>
    </row>
    <row r="452" spans="1:11" s="176" customFormat="1" ht="25.5" customHeight="1" x14ac:dyDescent="0.25">
      <c r="A452" s="169"/>
      <c r="B452" s="190"/>
      <c r="C452" s="183" t="s">
        <v>613</v>
      </c>
      <c r="D452" s="192"/>
      <c r="E452" s="192"/>
      <c r="F452" s="192"/>
      <c r="G452" s="192"/>
      <c r="H452" s="24"/>
      <c r="I452" s="231"/>
      <c r="J452" s="294"/>
      <c r="K452" s="295"/>
    </row>
    <row r="453" spans="1:11" s="176" customFormat="1" ht="25.5" customHeight="1" x14ac:dyDescent="0.25">
      <c r="A453" s="169"/>
      <c r="B453" s="190"/>
      <c r="C453" s="193" t="s">
        <v>614</v>
      </c>
      <c r="D453" s="192"/>
      <c r="E453" s="192"/>
      <c r="F453" s="192"/>
      <c r="G453" s="192"/>
      <c r="H453" s="252" t="e">
        <f>G453/D453</f>
        <v>#DIV/0!</v>
      </c>
      <c r="I453" s="231"/>
      <c r="J453" s="294"/>
      <c r="K453" s="295"/>
    </row>
    <row r="454" spans="1:11" s="176" customFormat="1" ht="25.5" customHeight="1" x14ac:dyDescent="0.25">
      <c r="A454" s="169"/>
      <c r="B454" s="190"/>
      <c r="C454" s="183" t="s">
        <v>616</v>
      </c>
      <c r="D454" s="192"/>
      <c r="E454" s="192"/>
      <c r="F454" s="192"/>
      <c r="G454" s="192"/>
      <c r="H454" s="252"/>
      <c r="I454" s="231"/>
      <c r="J454" s="294"/>
      <c r="K454" s="295"/>
    </row>
    <row r="455" spans="1:11" s="176" customFormat="1" ht="25.5" customHeight="1" x14ac:dyDescent="0.25">
      <c r="A455" s="169"/>
      <c r="B455" s="190"/>
      <c r="C455" s="183" t="s">
        <v>615</v>
      </c>
      <c r="D455" s="192"/>
      <c r="E455" s="192"/>
      <c r="F455" s="192"/>
      <c r="G455" s="192"/>
      <c r="H455" s="252"/>
      <c r="I455" s="231"/>
      <c r="J455" s="294"/>
      <c r="K455" s="295"/>
    </row>
    <row r="456" spans="1:11" s="176" customFormat="1" ht="25.5" customHeight="1" x14ac:dyDescent="0.25">
      <c r="A456" s="169"/>
      <c r="B456" s="190"/>
      <c r="C456" s="183" t="s">
        <v>617</v>
      </c>
      <c r="D456" s="192"/>
      <c r="E456" s="192"/>
      <c r="F456" s="192"/>
      <c r="G456" s="192"/>
      <c r="H456" s="252"/>
      <c r="I456" s="231"/>
      <c r="J456" s="294"/>
      <c r="K456" s="295"/>
    </row>
    <row r="457" spans="1:11" s="176" customFormat="1" ht="25.5" customHeight="1" x14ac:dyDescent="0.25">
      <c r="A457" s="169"/>
      <c r="B457" s="190"/>
      <c r="C457" s="183"/>
      <c r="D457" s="192"/>
      <c r="E457" s="192"/>
      <c r="F457" s="192"/>
      <c r="G457" s="192"/>
      <c r="H457" s="252"/>
      <c r="I457" s="231"/>
      <c r="J457" s="294"/>
      <c r="K457" s="295"/>
    </row>
    <row r="458" spans="1:11" s="176" customFormat="1" ht="25.5" customHeight="1" x14ac:dyDescent="0.25">
      <c r="A458" s="168" t="s">
        <v>91</v>
      </c>
      <c r="B458" s="189" t="s">
        <v>618</v>
      </c>
      <c r="C458" s="185" t="s">
        <v>620</v>
      </c>
      <c r="D458" s="191">
        <f>D459</f>
        <v>0</v>
      </c>
      <c r="E458" s="191"/>
      <c r="F458" s="191">
        <f t="shared" ref="F458:G458" si="156">F459</f>
        <v>0</v>
      </c>
      <c r="G458" s="191">
        <f t="shared" si="156"/>
        <v>0</v>
      </c>
      <c r="H458" s="253" t="e">
        <f>G458/D458</f>
        <v>#DIV/0!</v>
      </c>
      <c r="I458" s="231"/>
      <c r="J458" s="294"/>
      <c r="K458" s="295"/>
    </row>
    <row r="459" spans="1:11" s="176" customFormat="1" ht="32.25" customHeight="1" x14ac:dyDescent="0.25">
      <c r="A459" s="169"/>
      <c r="B459" s="190" t="s">
        <v>619</v>
      </c>
      <c r="C459" s="58" t="s">
        <v>621</v>
      </c>
      <c r="D459" s="192">
        <v>0</v>
      </c>
      <c r="E459" s="192"/>
      <c r="F459" s="192"/>
      <c r="G459" s="192"/>
      <c r="H459" s="252" t="e">
        <f>G459/D459</f>
        <v>#DIV/0!</v>
      </c>
      <c r="I459" s="231"/>
      <c r="J459" s="294"/>
      <c r="K459" s="295"/>
    </row>
    <row r="460" spans="1:11" s="176" customFormat="1" ht="25.5" customHeight="1" x14ac:dyDescent="0.25">
      <c r="A460" s="169"/>
      <c r="B460" s="190"/>
      <c r="C460" s="183"/>
      <c r="D460" s="192"/>
      <c r="E460" s="192"/>
      <c r="F460" s="192"/>
      <c r="G460" s="192"/>
      <c r="H460" s="24"/>
      <c r="I460" s="231"/>
      <c r="J460" s="294"/>
      <c r="K460" s="295"/>
    </row>
    <row r="461" spans="1:11" s="176" customFormat="1" ht="30.75" customHeight="1" thickBot="1" x14ac:dyDescent="0.3">
      <c r="A461" s="59"/>
      <c r="B461" s="60"/>
      <c r="C461" s="61" t="s">
        <v>249</v>
      </c>
      <c r="D461" s="62">
        <f>D11</f>
        <v>1392335943486</v>
      </c>
      <c r="E461" s="62">
        <f>E11</f>
        <v>1223621467588.78</v>
      </c>
      <c r="F461" s="62">
        <f t="shared" ref="F461:G461" si="157">F11</f>
        <v>146576980877.08002</v>
      </c>
      <c r="G461" s="62">
        <f t="shared" si="157"/>
        <v>1370198448465.8599</v>
      </c>
      <c r="H461" s="242">
        <f>G461/D461</f>
        <v>0.9841004643141551</v>
      </c>
      <c r="I461" s="234"/>
      <c r="J461" s="294"/>
      <c r="K461" s="295"/>
    </row>
    <row r="462" spans="1:11" s="176" customFormat="1" hidden="1" x14ac:dyDescent="0.25">
      <c r="A462" s="63"/>
      <c r="B462" s="64"/>
      <c r="C462" s="65"/>
      <c r="D462" s="66"/>
      <c r="E462" s="66"/>
      <c r="F462" s="66"/>
      <c r="G462" s="66"/>
      <c r="H462" s="66"/>
      <c r="I462" s="67" t="e">
        <f>SUM(F462/D462)</f>
        <v>#DIV/0!</v>
      </c>
      <c r="J462" s="294"/>
      <c r="K462" s="295"/>
    </row>
    <row r="463" spans="1:11" s="176" customFormat="1" hidden="1" x14ac:dyDescent="0.25">
      <c r="A463" s="68" t="s">
        <v>250</v>
      </c>
      <c r="B463" s="69" t="s">
        <v>46</v>
      </c>
      <c r="C463" s="70" t="s">
        <v>251</v>
      </c>
      <c r="D463" s="71" t="e">
        <f>SUM(#REF!-#REF!)</f>
        <v>#REF!</v>
      </c>
      <c r="E463" s="71"/>
      <c r="F463" s="71" t="e">
        <f>SUM(#REF!-#REF!)</f>
        <v>#REF!</v>
      </c>
      <c r="G463" s="71"/>
      <c r="H463" s="71"/>
      <c r="I463" s="72" t="e">
        <f>SUM(F463/#REF!)</f>
        <v>#REF!</v>
      </c>
      <c r="J463" s="294"/>
      <c r="K463" s="295"/>
    </row>
    <row r="464" spans="1:11" s="176" customFormat="1" hidden="1" x14ac:dyDescent="0.25">
      <c r="A464" s="68"/>
      <c r="B464" s="69" t="s">
        <v>252</v>
      </c>
      <c r="C464" s="70" t="s">
        <v>253</v>
      </c>
      <c r="D464" s="71" t="e">
        <f>SUM(#REF!-#REF!)</f>
        <v>#REF!</v>
      </c>
      <c r="E464" s="71"/>
      <c r="F464" s="71" t="e">
        <f>SUM(#REF!-#REF!)</f>
        <v>#REF!</v>
      </c>
      <c r="G464" s="71"/>
      <c r="H464" s="71"/>
      <c r="I464" s="72" t="e">
        <f>SUM(F464/#REF!)</f>
        <v>#REF!</v>
      </c>
      <c r="J464" s="294"/>
      <c r="K464" s="295"/>
    </row>
    <row r="465" spans="1:11" s="176" customFormat="1" hidden="1" x14ac:dyDescent="0.25">
      <c r="A465" s="68"/>
      <c r="B465" s="69" t="s">
        <v>254</v>
      </c>
      <c r="C465" s="70" t="s">
        <v>255</v>
      </c>
      <c r="D465" s="71" t="e">
        <f>SUM(#REF!-#REF!)</f>
        <v>#REF!</v>
      </c>
      <c r="E465" s="71"/>
      <c r="F465" s="71" t="e">
        <f>SUM(#REF!-#REF!)</f>
        <v>#REF!</v>
      </c>
      <c r="G465" s="71"/>
      <c r="H465" s="71"/>
      <c r="I465" s="72" t="e">
        <f>SUM(F465/#REF!)</f>
        <v>#REF!</v>
      </c>
      <c r="J465" s="294"/>
      <c r="K465" s="295"/>
    </row>
    <row r="466" spans="1:11" s="176" customFormat="1" hidden="1" x14ac:dyDescent="0.25">
      <c r="A466" s="68"/>
      <c r="B466" s="69" t="s">
        <v>256</v>
      </c>
      <c r="C466" s="70" t="s">
        <v>257</v>
      </c>
      <c r="D466" s="71" t="e">
        <f>SUM(#REF!-#REF!)</f>
        <v>#REF!</v>
      </c>
      <c r="E466" s="71"/>
      <c r="F466" s="71" t="e">
        <f>SUM(#REF!-#REF!)</f>
        <v>#REF!</v>
      </c>
      <c r="G466" s="71"/>
      <c r="H466" s="71"/>
      <c r="I466" s="72">
        <v>1</v>
      </c>
      <c r="J466" s="294"/>
      <c r="K466" s="295"/>
    </row>
    <row r="467" spans="1:11" s="176" customFormat="1" hidden="1" x14ac:dyDescent="0.25">
      <c r="A467" s="68"/>
      <c r="B467" s="69" t="s">
        <v>258</v>
      </c>
      <c r="C467" s="70" t="s">
        <v>259</v>
      </c>
      <c r="D467" s="71" t="e">
        <f>SUM(#REF!-#REF!)</f>
        <v>#REF!</v>
      </c>
      <c r="E467" s="71"/>
      <c r="F467" s="71" t="e">
        <f>SUM(#REF!-#REF!)</f>
        <v>#REF!</v>
      </c>
      <c r="G467" s="71"/>
      <c r="H467" s="71"/>
      <c r="I467" s="72">
        <v>1</v>
      </c>
      <c r="J467" s="294"/>
      <c r="K467" s="295"/>
    </row>
    <row r="468" spans="1:11" s="176" customFormat="1" hidden="1" x14ac:dyDescent="0.25">
      <c r="A468" s="68"/>
      <c r="B468" s="73" t="s">
        <v>260</v>
      </c>
      <c r="C468" s="74" t="s">
        <v>261</v>
      </c>
      <c r="D468" s="38" t="e">
        <f>SUM(#REF!-#REF!)</f>
        <v>#REF!</v>
      </c>
      <c r="E468" s="38"/>
      <c r="F468" s="38" t="e">
        <f>SUM(#REF!-#REF!)</f>
        <v>#REF!</v>
      </c>
      <c r="G468" s="38"/>
      <c r="H468" s="38"/>
      <c r="I468" s="75">
        <v>1</v>
      </c>
      <c r="J468" s="294"/>
      <c r="K468" s="295"/>
    </row>
    <row r="469" spans="1:11" s="176" customFormat="1" hidden="1" x14ac:dyDescent="0.25">
      <c r="A469" s="68"/>
      <c r="B469" s="76"/>
      <c r="C469" s="74" t="s">
        <v>262</v>
      </c>
      <c r="D469" s="38" t="e">
        <f>SUM(#REF!-#REF!)</f>
        <v>#REF!</v>
      </c>
      <c r="E469" s="38"/>
      <c r="F469" s="38" t="e">
        <f>SUM(#REF!-#REF!)</f>
        <v>#REF!</v>
      </c>
      <c r="G469" s="38"/>
      <c r="H469" s="38"/>
      <c r="I469" s="75">
        <v>1</v>
      </c>
      <c r="J469" s="294"/>
      <c r="K469" s="295"/>
    </row>
    <row r="470" spans="1:11" s="176" customFormat="1" ht="18" hidden="1" customHeight="1" x14ac:dyDescent="0.25">
      <c r="A470" s="68"/>
      <c r="B470" s="77"/>
      <c r="C470" s="78" t="s">
        <v>263</v>
      </c>
      <c r="D470" s="38" t="e">
        <f>SUM(#REF!-#REF!)</f>
        <v>#REF!</v>
      </c>
      <c r="E470" s="38"/>
      <c r="F470" s="38" t="e">
        <f>SUM(#REF!-#REF!)</f>
        <v>#REF!</v>
      </c>
      <c r="G470" s="38"/>
      <c r="H470" s="38"/>
      <c r="I470" s="72" t="e">
        <f>SUM(F470/#REF!)</f>
        <v>#REF!</v>
      </c>
      <c r="J470" s="294"/>
      <c r="K470" s="295"/>
    </row>
    <row r="471" spans="1:11" s="175" customFormat="1" x14ac:dyDescent="0.25">
      <c r="A471" s="1"/>
      <c r="B471" s="79"/>
      <c r="C471" s="414"/>
      <c r="D471" s="80"/>
      <c r="E471" s="80"/>
      <c r="F471" s="80"/>
      <c r="G471" s="80"/>
      <c r="H471" s="80"/>
      <c r="I471" s="414"/>
      <c r="J471" s="294"/>
      <c r="K471" s="294"/>
    </row>
    <row r="472" spans="1:11" s="175" customFormat="1" x14ac:dyDescent="0.25">
      <c r="A472" s="1"/>
      <c r="B472" s="79"/>
      <c r="C472" s="414"/>
      <c r="D472" s="194"/>
      <c r="E472" s="194"/>
      <c r="F472" s="194"/>
      <c r="G472" s="194"/>
      <c r="H472" s="194"/>
      <c r="J472" s="294"/>
      <c r="K472" s="294"/>
    </row>
    <row r="473" spans="1:11" s="175" customFormat="1" x14ac:dyDescent="0.25">
      <c r="A473" s="422"/>
      <c r="B473" s="423"/>
      <c r="C473" s="414"/>
      <c r="G473" s="291" t="s">
        <v>731</v>
      </c>
      <c r="H473" s="194"/>
      <c r="J473" s="294"/>
      <c r="K473" s="294"/>
    </row>
    <row r="474" spans="1:11" s="175" customFormat="1" x14ac:dyDescent="0.25">
      <c r="A474" s="1"/>
      <c r="B474" s="79"/>
      <c r="C474" s="414"/>
      <c r="G474" s="291" t="s">
        <v>630</v>
      </c>
      <c r="H474" s="201"/>
      <c r="J474" s="294"/>
      <c r="K474" s="294"/>
    </row>
    <row r="475" spans="1:11" s="175" customFormat="1" x14ac:dyDescent="0.25">
      <c r="A475" s="1"/>
      <c r="B475" s="79"/>
      <c r="C475" s="414"/>
      <c r="G475" s="291"/>
      <c r="H475" s="195"/>
      <c r="J475" s="294"/>
      <c r="K475" s="294"/>
    </row>
    <row r="476" spans="1:11" s="175" customFormat="1" x14ac:dyDescent="0.25">
      <c r="A476" s="1"/>
      <c r="B476" s="79"/>
      <c r="C476" s="414"/>
      <c r="G476" s="291"/>
      <c r="H476" s="195"/>
      <c r="J476" s="294"/>
      <c r="K476" s="294"/>
    </row>
    <row r="477" spans="1:11" s="175" customFormat="1" x14ac:dyDescent="0.25">
      <c r="A477" s="1"/>
      <c r="B477" s="79"/>
      <c r="C477" s="414"/>
      <c r="G477" s="291"/>
      <c r="H477" s="195"/>
      <c r="J477" s="294"/>
      <c r="K477" s="294"/>
    </row>
    <row r="478" spans="1:11" s="175" customFormat="1" x14ac:dyDescent="0.25">
      <c r="A478" s="1"/>
      <c r="B478" s="79"/>
      <c r="C478" s="414"/>
      <c r="G478" s="292" t="s">
        <v>579</v>
      </c>
      <c r="H478" s="195"/>
      <c r="J478" s="294"/>
      <c r="K478" s="294"/>
    </row>
    <row r="479" spans="1:11" s="175" customFormat="1" x14ac:dyDescent="0.25">
      <c r="A479" s="1"/>
      <c r="B479" s="79"/>
      <c r="C479" s="414"/>
      <c r="G479" s="291" t="s">
        <v>577</v>
      </c>
      <c r="H479" s="201"/>
      <c r="J479" s="294"/>
      <c r="K479" s="294"/>
    </row>
    <row r="480" spans="1:11" x14ac:dyDescent="0.25">
      <c r="G480" s="291" t="s">
        <v>576</v>
      </c>
    </row>
  </sheetData>
  <mergeCells count="11">
    <mergeCell ref="I7:I8"/>
    <mergeCell ref="B2:C2"/>
    <mergeCell ref="B3:C3"/>
    <mergeCell ref="B4:C4"/>
    <mergeCell ref="B5:C5"/>
    <mergeCell ref="F6:H6"/>
    <mergeCell ref="A7:A8"/>
    <mergeCell ref="B7:B8"/>
    <mergeCell ref="C7:C8"/>
    <mergeCell ref="E7:G7"/>
    <mergeCell ref="H7:H8"/>
  </mergeCells>
  <pageMargins left="0.51" right="0.15748031496062992" top="0.94" bottom="0.47244094488188981" header="0.39370078740157483" footer="0.23622047244094491"/>
  <pageSetup paperSize="9" scale="55" orientation="landscape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M62"/>
  <sheetViews>
    <sheetView topLeftCell="A16" zoomScale="79" zoomScaleNormal="79" workbookViewId="0">
      <selection activeCell="J43" sqref="J43"/>
    </sheetView>
  </sheetViews>
  <sheetFormatPr defaultColWidth="9.28515625" defaultRowHeight="13.15" customHeight="1" x14ac:dyDescent="0.25"/>
  <cols>
    <col min="1" max="1" width="6.7109375" style="113" customWidth="1"/>
    <col min="2" max="2" width="16.140625" style="113" customWidth="1"/>
    <col min="3" max="3" width="56" style="81" customWidth="1"/>
    <col min="4" max="4" width="29.5703125" style="81" customWidth="1"/>
    <col min="5" max="5" width="29.140625" style="81" customWidth="1"/>
    <col min="6" max="6" width="28.42578125" style="81" customWidth="1"/>
    <col min="7" max="7" width="28.85546875" style="81" customWidth="1"/>
    <col min="8" max="8" width="12.85546875" style="81" bestFit="1" customWidth="1"/>
    <col min="9" max="9" width="31.140625" style="271" customWidth="1"/>
    <col min="10" max="10" width="33" style="271" customWidth="1"/>
    <col min="11" max="11" width="30.5703125" style="81" customWidth="1"/>
    <col min="12" max="12" width="24.28515625" style="81" bestFit="1" customWidth="1"/>
    <col min="13" max="13" width="23.5703125" style="81" customWidth="1"/>
    <col min="14" max="30" width="9.28515625" style="81" customWidth="1"/>
    <col min="31" max="16384" width="9.28515625" style="81"/>
  </cols>
  <sheetData>
    <row r="2" spans="1:13" ht="17.25" customHeight="1" x14ac:dyDescent="0.25">
      <c r="B2" s="452" t="s">
        <v>0</v>
      </c>
      <c r="C2" s="452"/>
      <c r="D2" s="452"/>
      <c r="E2" s="5" t="s">
        <v>486</v>
      </c>
      <c r="F2" s="5"/>
      <c r="G2" s="175"/>
      <c r="H2" s="175"/>
    </row>
    <row r="3" spans="1:13" ht="17.25" customHeight="1" x14ac:dyDescent="0.25">
      <c r="B3" s="445" t="s">
        <v>480</v>
      </c>
      <c r="C3" s="445"/>
      <c r="D3" s="445"/>
      <c r="E3" s="5" t="s">
        <v>631</v>
      </c>
      <c r="F3" s="5"/>
      <c r="G3" s="175"/>
      <c r="H3" s="175"/>
    </row>
    <row r="4" spans="1:13" ht="23.25" customHeight="1" x14ac:dyDescent="0.25">
      <c r="B4" s="453" t="s">
        <v>481</v>
      </c>
      <c r="C4" s="453"/>
      <c r="D4" s="453"/>
      <c r="E4" s="6" t="s">
        <v>728</v>
      </c>
      <c r="F4" s="6"/>
      <c r="G4" s="175"/>
      <c r="H4" s="175"/>
    </row>
    <row r="5" spans="1:13" ht="23.25" customHeight="1" x14ac:dyDescent="0.25">
      <c r="B5" s="453"/>
      <c r="C5" s="453"/>
      <c r="D5" s="6"/>
      <c r="E5" s="6"/>
      <c r="F5" s="175"/>
      <c r="G5" s="175"/>
      <c r="H5" s="175"/>
    </row>
    <row r="6" spans="1:13" ht="21" customHeight="1" x14ac:dyDescent="0.25">
      <c r="B6" s="416"/>
      <c r="C6" s="416"/>
      <c r="D6" s="7"/>
      <c r="E6" s="7"/>
      <c r="F6" s="449"/>
      <c r="G6" s="449"/>
      <c r="H6" s="449"/>
    </row>
    <row r="7" spans="1:13" ht="21" customHeight="1" thickBot="1" x14ac:dyDescent="0.3">
      <c r="B7" s="416"/>
      <c r="C7" s="416"/>
      <c r="D7" s="7"/>
      <c r="E7" s="7"/>
      <c r="F7" s="448" t="s">
        <v>732</v>
      </c>
      <c r="G7" s="448"/>
      <c r="H7" s="448"/>
    </row>
    <row r="8" spans="1:13" s="83" customFormat="1" ht="23.25" customHeight="1" x14ac:dyDescent="0.25">
      <c r="A8" s="435" t="s">
        <v>2</v>
      </c>
      <c r="B8" s="437" t="s">
        <v>3</v>
      </c>
      <c r="C8" s="437" t="s">
        <v>4</v>
      </c>
      <c r="D8" s="202" t="s">
        <v>5</v>
      </c>
      <c r="E8" s="441" t="s">
        <v>475</v>
      </c>
      <c r="F8" s="441"/>
      <c r="G8" s="441"/>
      <c r="H8" s="454" t="s">
        <v>6</v>
      </c>
      <c r="I8" s="272"/>
      <c r="J8" s="272"/>
    </row>
    <row r="9" spans="1:13" s="83" customFormat="1" ht="23.25" customHeight="1" x14ac:dyDescent="0.25">
      <c r="A9" s="436"/>
      <c r="B9" s="438"/>
      <c r="C9" s="438"/>
      <c r="D9" s="203" t="s">
        <v>697</v>
      </c>
      <c r="E9" s="251" t="s">
        <v>476</v>
      </c>
      <c r="F9" s="251" t="s">
        <v>477</v>
      </c>
      <c r="G9" s="251" t="s">
        <v>478</v>
      </c>
      <c r="H9" s="455"/>
      <c r="I9" s="272"/>
      <c r="J9" s="272"/>
    </row>
    <row r="10" spans="1:13" ht="15.75" customHeight="1" x14ac:dyDescent="0.25">
      <c r="A10" s="11">
        <v>1</v>
      </c>
      <c r="B10" s="12">
        <v>2</v>
      </c>
      <c r="C10" s="13">
        <v>3</v>
      </c>
      <c r="D10" s="14">
        <v>4</v>
      </c>
      <c r="E10" s="14">
        <v>5</v>
      </c>
      <c r="F10" s="14">
        <v>6</v>
      </c>
      <c r="G10" s="15" t="s">
        <v>582</v>
      </c>
      <c r="H10" s="235" t="s">
        <v>583</v>
      </c>
    </row>
    <row r="11" spans="1:13" ht="20.25" customHeight="1" x14ac:dyDescent="0.25">
      <c r="A11" s="318"/>
      <c r="B11" s="199" t="s">
        <v>473</v>
      </c>
      <c r="C11" s="200" t="s">
        <v>9</v>
      </c>
      <c r="D11" s="275">
        <f>D12+D20+D31</f>
        <v>1392335943486</v>
      </c>
      <c r="E11" s="275">
        <f t="shared" ref="E11:G11" si="0">E12+E20+E31</f>
        <v>1223621467588.78</v>
      </c>
      <c r="F11" s="275">
        <f t="shared" si="0"/>
        <v>146576980877.08002</v>
      </c>
      <c r="G11" s="275">
        <f t="shared" si="0"/>
        <v>1370198448465.8599</v>
      </c>
      <c r="H11" s="276">
        <f>G11/D11</f>
        <v>0.9841004643141551</v>
      </c>
      <c r="I11" s="328"/>
      <c r="J11" s="328"/>
      <c r="K11" s="328"/>
    </row>
    <row r="12" spans="1:13" ht="20.25" customHeight="1" x14ac:dyDescent="0.25">
      <c r="A12" s="149" t="s">
        <v>426</v>
      </c>
      <c r="B12" s="150" t="s">
        <v>11</v>
      </c>
      <c r="C12" s="151" t="s">
        <v>443</v>
      </c>
      <c r="D12" s="152">
        <f>SUM(D13+D14+D18+D19)</f>
        <v>452558659244.67004</v>
      </c>
      <c r="E12" s="152">
        <f>SUM(E13+E14+E18+E19)</f>
        <v>434871899127.77997</v>
      </c>
      <c r="F12" s="152">
        <f t="shared" ref="F12:G12" si="1">SUM(F13+F14+F18+F19)</f>
        <v>29131844191.080002</v>
      </c>
      <c r="G12" s="152">
        <f t="shared" si="1"/>
        <v>464003743318.85999</v>
      </c>
      <c r="H12" s="243">
        <f>G12/D12</f>
        <v>1.0252897250784949</v>
      </c>
      <c r="I12" s="329"/>
      <c r="J12" s="328"/>
      <c r="K12" s="329"/>
      <c r="L12" s="329"/>
    </row>
    <row r="13" spans="1:13" ht="20.25" customHeight="1" x14ac:dyDescent="0.25">
      <c r="A13" s="319" t="s">
        <v>19</v>
      </c>
      <c r="B13" s="256" t="s">
        <v>345</v>
      </c>
      <c r="C13" s="265" t="s">
        <v>264</v>
      </c>
      <c r="D13" s="258">
        <f>'Realisasi Sept'!D13</f>
        <v>222013986230</v>
      </c>
      <c r="E13" s="258">
        <v>218390695335.35999</v>
      </c>
      <c r="F13" s="258">
        <f>'Realisasi Des'!F13</f>
        <v>7941397980</v>
      </c>
      <c r="G13" s="258">
        <f>E13+F13</f>
        <v>226332093315.35999</v>
      </c>
      <c r="H13" s="259">
        <f t="shared" ref="H13:H35" si="2">G13/D13</f>
        <v>1.019449707465216</v>
      </c>
      <c r="J13" s="328"/>
      <c r="K13" s="271"/>
      <c r="L13" s="271"/>
      <c r="M13" s="90"/>
    </row>
    <row r="14" spans="1:13" ht="20.25" customHeight="1" x14ac:dyDescent="0.25">
      <c r="A14" s="320" t="s">
        <v>39</v>
      </c>
      <c r="B14" s="266" t="s">
        <v>346</v>
      </c>
      <c r="C14" s="267" t="s">
        <v>265</v>
      </c>
      <c r="D14" s="268">
        <f>SUM(D15:D17)</f>
        <v>47985440000</v>
      </c>
      <c r="E14" s="268">
        <f t="shared" ref="E14:G14" si="3">SUM(E15:E17)</f>
        <v>28898594559.169998</v>
      </c>
      <c r="F14" s="268">
        <f t="shared" si="3"/>
        <v>3307773736</v>
      </c>
      <c r="G14" s="268">
        <f t="shared" si="3"/>
        <v>32206368295.169998</v>
      </c>
      <c r="H14" s="269">
        <f t="shared" si="2"/>
        <v>0.67116959425963374</v>
      </c>
      <c r="J14" s="328"/>
      <c r="K14" s="271"/>
      <c r="L14" s="271"/>
      <c r="M14" s="90"/>
    </row>
    <row r="15" spans="1:13" ht="20.25" customHeight="1" x14ac:dyDescent="0.25">
      <c r="A15" s="321"/>
      <c r="B15" s="86" t="s">
        <v>288</v>
      </c>
      <c r="C15" s="87" t="s">
        <v>55</v>
      </c>
      <c r="D15" s="88">
        <f>'Realisasi Sept'!D31+'Realisasi Sept'!D41+'Realisasi Sept'!D59+'Realisasi Sept'!D64+'Realisasi Sept'!D98</f>
        <v>4579475000</v>
      </c>
      <c r="E15" s="173">
        <v>2038906600</v>
      </c>
      <c r="F15" s="88">
        <f>'Realisasi Des'!F30+'Realisasi Des'!F59+'Realisasi Des'!F64+'Realisasi Des'!F98</f>
        <v>455120250</v>
      </c>
      <c r="G15" s="88">
        <f>E15+F15</f>
        <v>2494026850</v>
      </c>
      <c r="H15" s="245">
        <f t="shared" si="2"/>
        <v>0.54460977513797981</v>
      </c>
      <c r="J15" s="328"/>
      <c r="M15" s="90"/>
    </row>
    <row r="16" spans="1:13" ht="20.25" customHeight="1" x14ac:dyDescent="0.25">
      <c r="A16" s="321"/>
      <c r="B16" s="86" t="s">
        <v>285</v>
      </c>
      <c r="C16" s="87" t="s">
        <v>444</v>
      </c>
      <c r="D16" s="88">
        <f>'Realisasi Sept'!D45+'Realisasi Sept'!D54+'Realisasi Sept'!D69+'Realisasi Sept'!D81+'Realisasi Sept'!D93</f>
        <v>28403965000</v>
      </c>
      <c r="E16" s="173">
        <v>21550744750</v>
      </c>
      <c r="F16" s="88">
        <f>'Realisasi Des'!F45+'Realisasi Des'!F54+'Realisasi Des'!F69+'Realisasi Des'!F81+'Realisasi Des'!F93</f>
        <v>1917666550</v>
      </c>
      <c r="G16" s="88">
        <f t="shared" ref="G16:G19" si="4">E16+F16</f>
        <v>23468411300</v>
      </c>
      <c r="H16" s="245">
        <f t="shared" si="2"/>
        <v>0.82623715738278092</v>
      </c>
      <c r="J16" s="328"/>
      <c r="M16" s="90"/>
    </row>
    <row r="17" spans="1:13" ht="20.25" customHeight="1" x14ac:dyDescent="0.25">
      <c r="A17" s="321"/>
      <c r="B17" s="86" t="s">
        <v>298</v>
      </c>
      <c r="C17" s="87" t="s">
        <v>60</v>
      </c>
      <c r="D17" s="88">
        <f>'Realisasi Sept'!D38+'Realisasi Sept'!D51+'Realisasi Sept'!D76</f>
        <v>15002000000</v>
      </c>
      <c r="E17" s="173">
        <v>5308943209.1700001</v>
      </c>
      <c r="F17" s="88">
        <f>'Realisasi Des'!F38+'Realisasi Des'!F51+'Realisasi Des'!F76</f>
        <v>934986936</v>
      </c>
      <c r="G17" s="88">
        <f t="shared" si="4"/>
        <v>6243930145.1700001</v>
      </c>
      <c r="H17" s="245">
        <f t="shared" si="2"/>
        <v>0.41620651547593657</v>
      </c>
      <c r="J17" s="328"/>
      <c r="M17" s="90"/>
    </row>
    <row r="18" spans="1:13" ht="31.5" customHeight="1" x14ac:dyDescent="0.25">
      <c r="A18" s="320" t="s">
        <v>46</v>
      </c>
      <c r="B18" s="256" t="s">
        <v>347</v>
      </c>
      <c r="C18" s="257" t="s">
        <v>266</v>
      </c>
      <c r="D18" s="258">
        <v>1663748323.6700001</v>
      </c>
      <c r="E18" s="258">
        <v>1079761191</v>
      </c>
      <c r="F18" s="258">
        <f>'Realisasi Des'!F102</f>
        <v>0</v>
      </c>
      <c r="G18" s="260">
        <f t="shared" si="4"/>
        <v>1079761191</v>
      </c>
      <c r="H18" s="259">
        <f t="shared" si="2"/>
        <v>0.64899310529022514</v>
      </c>
      <c r="I18" s="273"/>
      <c r="J18" s="328"/>
      <c r="K18" s="271"/>
      <c r="L18" s="271"/>
      <c r="M18" s="90"/>
    </row>
    <row r="19" spans="1:13" ht="20.25" customHeight="1" x14ac:dyDescent="0.25">
      <c r="A19" s="322" t="s">
        <v>8</v>
      </c>
      <c r="B19" s="266" t="s">
        <v>348</v>
      </c>
      <c r="C19" s="267" t="s">
        <v>96</v>
      </c>
      <c r="D19" s="268">
        <f>'Realisasi Des'!D108</f>
        <v>180895484691</v>
      </c>
      <c r="E19" s="258">
        <v>186502848042.25</v>
      </c>
      <c r="F19" s="268">
        <f>'Realisasi Des'!F108</f>
        <v>17882672475.080002</v>
      </c>
      <c r="G19" s="260">
        <f t="shared" si="4"/>
        <v>204385520517.33002</v>
      </c>
      <c r="H19" s="269">
        <f t="shared" si="2"/>
        <v>1.1298541855063711</v>
      </c>
      <c r="J19" s="328"/>
      <c r="K19" s="271"/>
      <c r="L19" s="271"/>
      <c r="M19" s="90"/>
    </row>
    <row r="20" spans="1:13" ht="20.25" customHeight="1" x14ac:dyDescent="0.25">
      <c r="A20" s="149" t="s">
        <v>163</v>
      </c>
      <c r="B20" s="150" t="s">
        <v>164</v>
      </c>
      <c r="C20" s="151" t="s">
        <v>268</v>
      </c>
      <c r="D20" s="155">
        <f>SUM(D21+D28)</f>
        <v>939777284241.33008</v>
      </c>
      <c r="E20" s="155">
        <f t="shared" ref="E20:G20" si="5">SUM(E21+E28)</f>
        <v>788749568461</v>
      </c>
      <c r="F20" s="155">
        <f>SUM(F21+F28)</f>
        <v>117445136686</v>
      </c>
      <c r="G20" s="155">
        <f t="shared" si="5"/>
        <v>906194705147</v>
      </c>
      <c r="H20" s="243">
        <f t="shared" si="2"/>
        <v>0.96426538536580941</v>
      </c>
      <c r="J20" s="328"/>
      <c r="K20" s="271"/>
      <c r="L20" s="271"/>
    </row>
    <row r="21" spans="1:13" ht="20.25" customHeight="1" x14ac:dyDescent="0.25">
      <c r="A21" s="156" t="s">
        <v>416</v>
      </c>
      <c r="B21" s="157" t="s">
        <v>350</v>
      </c>
      <c r="C21" s="158" t="s">
        <v>351</v>
      </c>
      <c r="D21" s="159">
        <f>SUM(D22+D27)</f>
        <v>794763838753</v>
      </c>
      <c r="E21" s="159">
        <f t="shared" ref="E21:G21" si="6">SUM(E22+E27)</f>
        <v>669970657010</v>
      </c>
      <c r="F21" s="159">
        <f t="shared" si="6"/>
        <v>108750343719</v>
      </c>
      <c r="G21" s="159">
        <f t="shared" si="6"/>
        <v>778721000729</v>
      </c>
      <c r="H21" s="246">
        <f t="shared" si="2"/>
        <v>0.97981433321227662</v>
      </c>
      <c r="J21" s="328"/>
      <c r="K21" s="271"/>
    </row>
    <row r="22" spans="1:13" ht="20.25" customHeight="1" x14ac:dyDescent="0.25">
      <c r="A22" s="160" t="s">
        <v>89</v>
      </c>
      <c r="B22" s="161" t="s">
        <v>352</v>
      </c>
      <c r="C22" s="162" t="s">
        <v>435</v>
      </c>
      <c r="D22" s="163">
        <f>SUM(D23:D26)</f>
        <v>774402942753</v>
      </c>
      <c r="E22" s="163">
        <f t="shared" ref="E22:G22" si="7">SUM(E23:E26)</f>
        <v>661107333010</v>
      </c>
      <c r="F22" s="163">
        <f>SUM(F23:F26)</f>
        <v>97252771719</v>
      </c>
      <c r="G22" s="163">
        <f t="shared" si="7"/>
        <v>758360104729</v>
      </c>
      <c r="H22" s="247">
        <f t="shared" si="2"/>
        <v>0.97928360400211323</v>
      </c>
      <c r="J22" s="328"/>
    </row>
    <row r="23" spans="1:13" ht="20.25" customHeight="1" x14ac:dyDescent="0.25">
      <c r="A23" s="323" t="s">
        <v>13</v>
      </c>
      <c r="B23" s="147" t="s">
        <v>353</v>
      </c>
      <c r="C23" s="148" t="s">
        <v>354</v>
      </c>
      <c r="D23" s="173">
        <v>162373681000</v>
      </c>
      <c r="E23" s="173">
        <v>129485170326</v>
      </c>
      <c r="F23" s="173">
        <f>'Realisasi Des'!F235</f>
        <v>38157185300</v>
      </c>
      <c r="G23" s="173">
        <f>E23+F23</f>
        <v>167642355626</v>
      </c>
      <c r="H23" s="244">
        <f t="shared" si="2"/>
        <v>1.0324478363337715</v>
      </c>
      <c r="J23" s="328"/>
      <c r="K23" s="271"/>
    </row>
    <row r="24" spans="1:13" ht="20.25" customHeight="1" x14ac:dyDescent="0.25">
      <c r="A24" s="85" t="s">
        <v>16</v>
      </c>
      <c r="B24" s="86" t="s">
        <v>368</v>
      </c>
      <c r="C24" s="87" t="s">
        <v>436</v>
      </c>
      <c r="D24" s="88">
        <v>429554051000</v>
      </c>
      <c r="E24" s="173">
        <v>427742257138</v>
      </c>
      <c r="F24" s="88">
        <f>'Realisasi Des'!F293</f>
        <v>0</v>
      </c>
      <c r="G24" s="173">
        <f t="shared" ref="G24:G26" si="8">E24+F24</f>
        <v>427742257138</v>
      </c>
      <c r="H24" s="248">
        <f t="shared" si="2"/>
        <v>0.99578215161099715</v>
      </c>
      <c r="J24" s="328"/>
    </row>
    <row r="25" spans="1:13" ht="20.25" customHeight="1" x14ac:dyDescent="0.25">
      <c r="A25" s="85" t="s">
        <v>86</v>
      </c>
      <c r="B25" s="86" t="s">
        <v>370</v>
      </c>
      <c r="C25" s="87" t="s">
        <v>437</v>
      </c>
      <c r="D25" s="88">
        <v>62721068973</v>
      </c>
      <c r="E25" s="173">
        <v>56551642479</v>
      </c>
      <c r="F25" s="88">
        <f>'Realisasi Des'!F295</f>
        <v>4837505009</v>
      </c>
      <c r="G25" s="173">
        <f>E25+F25</f>
        <v>61389147488</v>
      </c>
      <c r="H25" s="248">
        <f t="shared" si="2"/>
        <v>0.97876436886665052</v>
      </c>
      <c r="J25" s="328"/>
      <c r="K25" s="271"/>
    </row>
    <row r="26" spans="1:13" ht="20.25" customHeight="1" x14ac:dyDescent="0.25">
      <c r="A26" s="91" t="s">
        <v>95</v>
      </c>
      <c r="B26" s="153" t="s">
        <v>384</v>
      </c>
      <c r="C26" s="154" t="s">
        <v>438</v>
      </c>
      <c r="D26" s="174">
        <v>119754141780</v>
      </c>
      <c r="E26" s="173">
        <v>47328263067</v>
      </c>
      <c r="F26" s="174">
        <f>'Realisasi Des'!F365</f>
        <v>54258081410</v>
      </c>
      <c r="G26" s="173">
        <f t="shared" si="8"/>
        <v>101586344477</v>
      </c>
      <c r="H26" s="245">
        <f t="shared" si="2"/>
        <v>0.84829086465856007</v>
      </c>
      <c r="J26" s="328"/>
    </row>
    <row r="27" spans="1:13" ht="18" x14ac:dyDescent="0.25">
      <c r="A27" s="160" t="s">
        <v>91</v>
      </c>
      <c r="B27" s="161" t="s">
        <v>396</v>
      </c>
      <c r="C27" s="162" t="s">
        <v>439</v>
      </c>
      <c r="D27" s="163">
        <v>20360896000</v>
      </c>
      <c r="E27" s="163">
        <v>8863324000</v>
      </c>
      <c r="F27" s="163">
        <f>'Realisasi Des'!F410</f>
        <v>11497572000</v>
      </c>
      <c r="G27" s="163">
        <f>E27+F27</f>
        <v>20360896000</v>
      </c>
      <c r="H27" s="247">
        <f t="shared" si="2"/>
        <v>1</v>
      </c>
      <c r="J27" s="328"/>
    </row>
    <row r="28" spans="1:13" ht="20.25" customHeight="1" x14ac:dyDescent="0.25">
      <c r="A28" s="156" t="s">
        <v>440</v>
      </c>
      <c r="B28" s="157" t="s">
        <v>398</v>
      </c>
      <c r="C28" s="158" t="s">
        <v>399</v>
      </c>
      <c r="D28" s="159">
        <f>SUM(D29:D30)</f>
        <v>145013445488.33002</v>
      </c>
      <c r="E28" s="159">
        <f t="shared" ref="E28:F28" si="9">SUM(E29:E30)</f>
        <v>118778911451</v>
      </c>
      <c r="F28" s="159">
        <f t="shared" si="9"/>
        <v>8694792967</v>
      </c>
      <c r="G28" s="159">
        <f>E28+F28</f>
        <v>127473704418</v>
      </c>
      <c r="H28" s="246">
        <f t="shared" si="2"/>
        <v>0.87904748410559264</v>
      </c>
      <c r="J28" s="328"/>
    </row>
    <row r="29" spans="1:13" ht="20.25" customHeight="1" x14ac:dyDescent="0.25">
      <c r="A29" s="323" t="s">
        <v>89</v>
      </c>
      <c r="B29" s="147" t="s">
        <v>400</v>
      </c>
      <c r="C29" s="148" t="s">
        <v>403</v>
      </c>
      <c r="D29" s="173">
        <v>135038655888.33</v>
      </c>
      <c r="E29" s="173">
        <v>111260911451</v>
      </c>
      <c r="F29" s="173">
        <f>'Realisasi Des'!F418</f>
        <v>7796542967</v>
      </c>
      <c r="G29" s="173">
        <f>E29+F29</f>
        <v>119057454418</v>
      </c>
      <c r="H29" s="244">
        <f t="shared" si="2"/>
        <v>0.88165461685618651</v>
      </c>
      <c r="J29" s="328"/>
    </row>
    <row r="30" spans="1:13" ht="20.25" customHeight="1" x14ac:dyDescent="0.25">
      <c r="A30" s="91" t="s">
        <v>91</v>
      </c>
      <c r="B30" s="153" t="s">
        <v>425</v>
      </c>
      <c r="C30" s="154" t="s">
        <v>427</v>
      </c>
      <c r="D30" s="174">
        <v>9974789600</v>
      </c>
      <c r="E30" s="173">
        <v>7518000000</v>
      </c>
      <c r="F30" s="174">
        <f>'Realisasi Des'!F431</f>
        <v>898250000</v>
      </c>
      <c r="G30" s="173">
        <f>E30+F30</f>
        <v>8416250000</v>
      </c>
      <c r="H30" s="244">
        <f t="shared" si="2"/>
        <v>0.84375213287706841</v>
      </c>
      <c r="J30" s="328"/>
    </row>
    <row r="31" spans="1:13" ht="20.25" customHeight="1" x14ac:dyDescent="0.25">
      <c r="A31" s="149" t="s">
        <v>241</v>
      </c>
      <c r="B31" s="150" t="s">
        <v>242</v>
      </c>
      <c r="C31" s="151" t="s">
        <v>243</v>
      </c>
      <c r="D31" s="155">
        <f t="shared" ref="D31:G33" si="10">D32</f>
        <v>0</v>
      </c>
      <c r="E31" s="155">
        <f t="shared" si="10"/>
        <v>0</v>
      </c>
      <c r="F31" s="155">
        <f t="shared" si="10"/>
        <v>0</v>
      </c>
      <c r="G31" s="155">
        <f t="shared" si="10"/>
        <v>0</v>
      </c>
      <c r="H31" s="392" t="e">
        <f t="shared" si="2"/>
        <v>#DIV/0!</v>
      </c>
    </row>
    <row r="32" spans="1:13" ht="34.5" customHeight="1" x14ac:dyDescent="0.25">
      <c r="A32" s="84"/>
      <c r="B32" s="147" t="s">
        <v>418</v>
      </c>
      <c r="C32" s="250" t="s">
        <v>441</v>
      </c>
      <c r="D32" s="258">
        <f>D33</f>
        <v>0</v>
      </c>
      <c r="E32" s="173"/>
      <c r="F32" s="173">
        <f>F33</f>
        <v>0</v>
      </c>
      <c r="G32" s="173">
        <f>E32+F32</f>
        <v>0</v>
      </c>
      <c r="H32" s="393" t="e">
        <f t="shared" si="2"/>
        <v>#DIV/0!</v>
      </c>
    </row>
    <row r="33" spans="1:10" ht="20.25" customHeight="1" x14ac:dyDescent="0.25">
      <c r="A33" s="85"/>
      <c r="B33" s="86" t="s">
        <v>420</v>
      </c>
      <c r="C33" s="87" t="s">
        <v>442</v>
      </c>
      <c r="D33" s="260">
        <f t="shared" si="10"/>
        <v>0</v>
      </c>
      <c r="E33" s="173"/>
      <c r="F33" s="88">
        <f>'Realisasi Agustus'!G452</f>
        <v>0</v>
      </c>
      <c r="G33" s="173">
        <f t="shared" ref="G33" si="11">E33+F33</f>
        <v>0</v>
      </c>
      <c r="H33" s="394" t="e">
        <f t="shared" si="2"/>
        <v>#DIV/0!</v>
      </c>
    </row>
    <row r="34" spans="1:10" ht="20.25" customHeight="1" x14ac:dyDescent="0.25">
      <c r="A34" s="91" t="s">
        <v>89</v>
      </c>
      <c r="B34" s="86" t="s">
        <v>422</v>
      </c>
      <c r="C34" s="87" t="s">
        <v>423</v>
      </c>
      <c r="D34" s="164">
        <v>0</v>
      </c>
      <c r="E34" s="173">
        <v>0</v>
      </c>
      <c r="F34" s="174">
        <f>'Realisasi Sept'!F444</f>
        <v>0</v>
      </c>
      <c r="G34" s="173">
        <f>F34</f>
        <v>0</v>
      </c>
      <c r="H34" s="286" t="e">
        <f t="shared" si="2"/>
        <v>#DIV/0!</v>
      </c>
    </row>
    <row r="35" spans="1:10" ht="20.25" customHeight="1" thickBot="1" x14ac:dyDescent="0.3">
      <c r="A35" s="91" t="s">
        <v>91</v>
      </c>
      <c r="B35" s="86" t="s">
        <v>618</v>
      </c>
      <c r="C35" s="87" t="s">
        <v>620</v>
      </c>
      <c r="D35" s="164">
        <v>0</v>
      </c>
      <c r="E35" s="173">
        <v>0</v>
      </c>
      <c r="F35" s="174">
        <f>'Realisasi Sept'!F458</f>
        <v>0</v>
      </c>
      <c r="G35" s="173">
        <f>F35</f>
        <v>0</v>
      </c>
      <c r="H35" s="286" t="e">
        <f t="shared" si="2"/>
        <v>#DIV/0!</v>
      </c>
    </row>
    <row r="36" spans="1:10" s="82" customFormat="1" ht="21.75" customHeight="1" thickBot="1" x14ac:dyDescent="0.3">
      <c r="A36" s="143"/>
      <c r="B36" s="144"/>
      <c r="C36" s="145" t="s">
        <v>472</v>
      </c>
      <c r="D36" s="146">
        <f>SUM(D12+D20+D31)</f>
        <v>1392335943486</v>
      </c>
      <c r="E36" s="146">
        <f t="shared" ref="E36:G36" si="12">SUM(E12+E20+E31)</f>
        <v>1223621467588.78</v>
      </c>
      <c r="F36" s="146">
        <f t="shared" si="12"/>
        <v>146576980877.08002</v>
      </c>
      <c r="G36" s="146">
        <f t="shared" si="12"/>
        <v>1370198448465.8599</v>
      </c>
      <c r="H36" s="249">
        <f>G36/D36</f>
        <v>0.9841004643141551</v>
      </c>
      <c r="I36" s="274"/>
      <c r="J36" s="274"/>
    </row>
    <row r="37" spans="1:10" ht="20.25" hidden="1" customHeight="1" x14ac:dyDescent="0.25">
      <c r="A37" s="92" t="s">
        <v>95</v>
      </c>
      <c r="B37" s="93" t="s">
        <v>46</v>
      </c>
      <c r="C37" s="94" t="s">
        <v>251</v>
      </c>
      <c r="D37" s="95">
        <v>102132456348.7</v>
      </c>
      <c r="E37" s="173"/>
      <c r="F37" s="88" t="e">
        <f>D37-#REF!</f>
        <v>#REF!</v>
      </c>
      <c r="G37" s="173"/>
      <c r="H37" s="96" t="e">
        <f>SUM(F37/#REF!)</f>
        <v>#REF!</v>
      </c>
    </row>
    <row r="38" spans="1:10" ht="20.25" hidden="1" customHeight="1" x14ac:dyDescent="0.25">
      <c r="A38" s="85"/>
      <c r="B38" s="97" t="s">
        <v>252</v>
      </c>
      <c r="C38" s="98" t="s">
        <v>253</v>
      </c>
      <c r="D38" s="88">
        <v>102132456348.7</v>
      </c>
      <c r="E38" s="88"/>
      <c r="F38" s="88" t="e">
        <f>D38-#REF!</f>
        <v>#REF!</v>
      </c>
      <c r="G38" s="88"/>
      <c r="H38" s="89" t="e">
        <f>SUM(F38/#REF!)</f>
        <v>#REF!</v>
      </c>
    </row>
    <row r="39" spans="1:10" ht="20.25" hidden="1" customHeight="1" x14ac:dyDescent="0.25">
      <c r="A39" s="85"/>
      <c r="B39" s="99" t="s">
        <v>254</v>
      </c>
      <c r="C39" s="100" t="s">
        <v>255</v>
      </c>
      <c r="D39" s="88">
        <v>95076456348.699997</v>
      </c>
      <c r="E39" s="88"/>
      <c r="F39" s="88" t="e">
        <f>D39-#REF!</f>
        <v>#REF!</v>
      </c>
      <c r="G39" s="88"/>
      <c r="H39" s="89" t="e">
        <f>SUM(F39/#REF!)</f>
        <v>#REF!</v>
      </c>
    </row>
    <row r="40" spans="1:10" ht="20.25" hidden="1" customHeight="1" x14ac:dyDescent="0.25">
      <c r="A40" s="85"/>
      <c r="B40" s="99" t="s">
        <v>256</v>
      </c>
      <c r="C40" s="100" t="s">
        <v>257</v>
      </c>
      <c r="D40" s="88">
        <v>7056000000</v>
      </c>
      <c r="E40" s="88"/>
      <c r="F40" s="88" t="e">
        <f>D40-#REF!</f>
        <v>#REF!</v>
      </c>
      <c r="G40" s="88"/>
      <c r="H40" s="89">
        <v>1</v>
      </c>
    </row>
    <row r="41" spans="1:10" ht="20.25" hidden="1" customHeight="1" x14ac:dyDescent="0.25">
      <c r="A41" s="101"/>
      <c r="B41" s="102" t="s">
        <v>258</v>
      </c>
      <c r="C41" s="103" t="s">
        <v>259</v>
      </c>
      <c r="D41" s="104">
        <v>7056000000</v>
      </c>
      <c r="E41" s="174"/>
      <c r="F41" s="88" t="e">
        <f>D41-#REF!</f>
        <v>#REF!</v>
      </c>
      <c r="G41" s="174"/>
      <c r="H41" s="105">
        <v>1</v>
      </c>
    </row>
    <row r="42" spans="1:10" ht="26.25" hidden="1" customHeight="1" x14ac:dyDescent="0.25">
      <c r="A42" s="450" t="s">
        <v>263</v>
      </c>
      <c r="B42" s="451"/>
      <c r="C42" s="451"/>
      <c r="D42" s="106">
        <f>SUM(D37+D36)</f>
        <v>1494468399834.7</v>
      </c>
      <c r="E42" s="106"/>
      <c r="F42" s="106" t="e">
        <f>SUM(F37+F36)</f>
        <v>#REF!</v>
      </c>
      <c r="G42" s="106"/>
      <c r="H42" s="107" t="e">
        <f>SUM(F42/#REF!)</f>
        <v>#REF!</v>
      </c>
    </row>
    <row r="43" spans="1:10" ht="26.25" customHeight="1" x14ac:dyDescent="0.25">
      <c r="A43" s="108"/>
      <c r="B43" s="198"/>
      <c r="C43" s="197"/>
      <c r="D43" s="110"/>
      <c r="E43" s="110"/>
      <c r="F43" s="110"/>
      <c r="G43" s="110"/>
      <c r="H43" s="111"/>
    </row>
    <row r="44" spans="1:10" ht="21" customHeight="1" x14ac:dyDescent="0.25">
      <c r="A44" s="422"/>
      <c r="B44" s="423"/>
      <c r="C44" s="109"/>
      <c r="D44" s="112"/>
      <c r="E44" s="112"/>
      <c r="F44" s="291"/>
      <c r="G44" s="291" t="s">
        <v>731</v>
      </c>
      <c r="H44" s="113"/>
    </row>
    <row r="45" spans="1:10" ht="18" x14ac:dyDescent="0.25">
      <c r="A45" s="342"/>
      <c r="B45" s="416"/>
      <c r="C45" s="109"/>
      <c r="D45" s="114"/>
      <c r="E45" s="114"/>
      <c r="F45" s="291"/>
      <c r="G45" s="291" t="s">
        <v>630</v>
      </c>
      <c r="H45" s="255"/>
    </row>
    <row r="46" spans="1:10" ht="21" customHeight="1" x14ac:dyDescent="0.25">
      <c r="B46" s="416"/>
      <c r="C46" s="109"/>
      <c r="D46" s="114"/>
      <c r="E46" s="114"/>
      <c r="F46" s="291"/>
      <c r="G46" s="291"/>
      <c r="H46" s="255"/>
    </row>
    <row r="47" spans="1:10" ht="15.75" customHeight="1" x14ac:dyDescent="0.25">
      <c r="B47" s="416"/>
      <c r="C47" s="109"/>
      <c r="D47" s="116"/>
      <c r="E47" s="116"/>
      <c r="F47" s="291"/>
      <c r="G47" s="291"/>
      <c r="H47" s="117"/>
    </row>
    <row r="48" spans="1:10" ht="15.75" customHeight="1" x14ac:dyDescent="0.25">
      <c r="B48" s="416"/>
      <c r="C48" s="109"/>
      <c r="D48" s="116"/>
      <c r="E48" s="116"/>
      <c r="F48" s="291"/>
      <c r="G48" s="291"/>
      <c r="H48" s="117"/>
    </row>
    <row r="49" spans="2:8" ht="15.75" customHeight="1" x14ac:dyDescent="0.25">
      <c r="B49" s="416"/>
      <c r="C49" s="109" t="s">
        <v>267</v>
      </c>
      <c r="D49" s="116"/>
      <c r="E49" s="116"/>
      <c r="F49" s="292"/>
      <c r="G49" s="292" t="s">
        <v>579</v>
      </c>
      <c r="H49" s="117"/>
    </row>
    <row r="50" spans="2:8" ht="15.75" customHeight="1" x14ac:dyDescent="0.25">
      <c r="B50" s="416"/>
      <c r="C50" s="109"/>
      <c r="D50" s="116"/>
      <c r="E50" s="116"/>
      <c r="F50" s="291"/>
      <c r="G50" s="291" t="s">
        <v>577</v>
      </c>
      <c r="H50" s="117"/>
    </row>
    <row r="51" spans="2:8" ht="22.5" customHeight="1" x14ac:dyDescent="0.25">
      <c r="C51" s="118"/>
      <c r="D51" s="119"/>
      <c r="E51" s="119"/>
      <c r="F51" s="291"/>
      <c r="G51" s="291" t="s">
        <v>576</v>
      </c>
      <c r="H51" s="120"/>
    </row>
    <row r="52" spans="2:8" ht="20.25" customHeight="1" x14ac:dyDescent="0.25">
      <c r="C52" s="118"/>
      <c r="D52" s="112"/>
      <c r="E52" s="112"/>
      <c r="F52" s="115"/>
      <c r="G52" s="115"/>
      <c r="H52" s="113"/>
    </row>
    <row r="53" spans="2:8" ht="13.15" customHeight="1" x14ac:dyDescent="0.25">
      <c r="C53" s="118"/>
      <c r="D53" s="112"/>
      <c r="E53" s="112"/>
      <c r="H53" s="113"/>
    </row>
    <row r="54" spans="2:8" ht="13.15" customHeight="1" x14ac:dyDescent="0.25">
      <c r="C54" s="118"/>
      <c r="D54" s="112"/>
      <c r="E54" s="112"/>
      <c r="F54" s="113"/>
      <c r="G54" s="113"/>
      <c r="H54" s="113"/>
    </row>
    <row r="55" spans="2:8" ht="13.15" customHeight="1" x14ac:dyDescent="0.25">
      <c r="C55" s="118"/>
      <c r="D55" s="112"/>
      <c r="E55" s="112"/>
      <c r="F55" s="113"/>
      <c r="G55" s="113"/>
      <c r="H55" s="113"/>
    </row>
    <row r="56" spans="2:8" ht="13.15" customHeight="1" x14ac:dyDescent="0.25">
      <c r="C56" s="118"/>
      <c r="D56" s="118"/>
      <c r="E56" s="118"/>
    </row>
    <row r="57" spans="2:8" ht="13.15" customHeight="1" x14ac:dyDescent="0.25">
      <c r="C57" s="118"/>
      <c r="D57" s="118"/>
      <c r="E57" s="118"/>
    </row>
    <row r="58" spans="2:8" ht="13.15" customHeight="1" x14ac:dyDescent="0.25">
      <c r="C58" s="118"/>
      <c r="D58" s="118"/>
      <c r="E58" s="118"/>
    </row>
    <row r="59" spans="2:8" ht="13.15" customHeight="1" x14ac:dyDescent="0.25">
      <c r="C59" s="118"/>
      <c r="D59" s="118"/>
      <c r="E59" s="118"/>
    </row>
    <row r="60" spans="2:8" ht="13.15" customHeight="1" x14ac:dyDescent="0.25">
      <c r="C60" s="118"/>
      <c r="D60" s="118"/>
      <c r="E60" s="118"/>
    </row>
    <row r="61" spans="2:8" ht="13.15" customHeight="1" x14ac:dyDescent="0.25">
      <c r="C61" s="118"/>
      <c r="D61" s="118"/>
      <c r="E61" s="118"/>
    </row>
    <row r="62" spans="2:8" ht="13.15" customHeight="1" x14ac:dyDescent="0.25">
      <c r="C62" s="118"/>
      <c r="D62" s="118"/>
      <c r="E62" s="118"/>
    </row>
  </sheetData>
  <mergeCells count="12">
    <mergeCell ref="F6:H6"/>
    <mergeCell ref="F7:H7"/>
    <mergeCell ref="A42:C42"/>
    <mergeCell ref="B2:D2"/>
    <mergeCell ref="B3:D3"/>
    <mergeCell ref="B4:D4"/>
    <mergeCell ref="B5:C5"/>
    <mergeCell ref="A8:A9"/>
    <mergeCell ref="B8:B9"/>
    <mergeCell ref="C8:C9"/>
    <mergeCell ref="E8:G8"/>
    <mergeCell ref="H8:H9"/>
  </mergeCells>
  <printOptions horizontalCentered="1"/>
  <pageMargins left="0.42" right="0.23" top="0.55118110236220474" bottom="0.27559055118110237" header="0.23622047244094491" footer="0.31496062992125984"/>
  <pageSetup paperSize="9" scale="6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</sheetPr>
  <dimension ref="A1:O478"/>
  <sheetViews>
    <sheetView zoomScale="68" zoomScaleNormal="68" workbookViewId="0">
      <pane ySplit="9" topLeftCell="A417" activePane="bottomLeft" state="frozen"/>
      <selection activeCell="L32" sqref="L32"/>
      <selection pane="bottomLeft" activeCell="L154" sqref="L154"/>
    </sheetView>
  </sheetViews>
  <sheetFormatPr defaultColWidth="9.28515625" defaultRowHeight="18" x14ac:dyDescent="0.25"/>
  <cols>
    <col min="1" max="1" width="7" style="4" customWidth="1"/>
    <col min="2" max="2" width="25.140625" style="4" customWidth="1"/>
    <col min="3" max="3" width="82.7109375" style="4" customWidth="1"/>
    <col min="4" max="6" width="28.42578125" style="175" customWidth="1"/>
    <col min="7" max="7" width="30.7109375" style="175" customWidth="1"/>
    <col min="8" max="8" width="16" style="175" customWidth="1"/>
    <col min="9" max="9" width="56.42578125" style="4" hidden="1" customWidth="1"/>
    <col min="10" max="10" width="30.5703125" style="175" bestFit="1" customWidth="1"/>
    <col min="11" max="11" width="26.5703125" style="4" bestFit="1" customWidth="1"/>
    <col min="12" max="12" width="9.28515625" style="4"/>
    <col min="13" max="13" width="26.28515625" style="4" customWidth="1"/>
    <col min="14" max="16384" width="9.28515625" style="4"/>
  </cols>
  <sheetData>
    <row r="1" spans="1:15" x14ac:dyDescent="0.25">
      <c r="A1" s="1"/>
      <c r="B1" s="1"/>
      <c r="C1" s="2"/>
      <c r="I1" s="3"/>
    </row>
    <row r="2" spans="1:15" ht="25.5" x14ac:dyDescent="0.25">
      <c r="A2" s="1"/>
      <c r="B2" s="444" t="s">
        <v>0</v>
      </c>
      <c r="C2" s="444"/>
      <c r="E2" s="5" t="s">
        <v>486</v>
      </c>
      <c r="I2" s="1"/>
      <c r="K2" s="5"/>
    </row>
    <row r="3" spans="1:15" x14ac:dyDescent="0.25">
      <c r="A3" s="1"/>
      <c r="B3" s="445" t="s">
        <v>480</v>
      </c>
      <c r="C3" s="445"/>
      <c r="E3" s="5" t="s">
        <v>631</v>
      </c>
      <c r="K3" s="5"/>
    </row>
    <row r="4" spans="1:15" x14ac:dyDescent="0.25">
      <c r="A4" s="1"/>
      <c r="B4" s="446" t="s">
        <v>481</v>
      </c>
      <c r="C4" s="446"/>
      <c r="E4" s="6" t="s">
        <v>642</v>
      </c>
      <c r="K4" s="6"/>
    </row>
    <row r="5" spans="1:15" ht="19.5" x14ac:dyDescent="0.25">
      <c r="A5" s="1"/>
      <c r="B5" s="447"/>
      <c r="C5" s="447"/>
      <c r="I5" s="1"/>
    </row>
    <row r="6" spans="1:15" ht="18.75" thickBot="1" x14ac:dyDescent="0.3">
      <c r="A6" s="1"/>
      <c r="B6" s="301"/>
      <c r="C6" s="301"/>
      <c r="D6" s="8"/>
      <c r="E6" s="8"/>
      <c r="F6" s="448"/>
      <c r="G6" s="448"/>
      <c r="H6" s="448"/>
      <c r="I6" s="7"/>
    </row>
    <row r="7" spans="1:15" s="10" customFormat="1" ht="29.25" customHeight="1" x14ac:dyDescent="0.25">
      <c r="A7" s="435" t="s">
        <v>2</v>
      </c>
      <c r="B7" s="437" t="s">
        <v>3</v>
      </c>
      <c r="C7" s="437" t="s">
        <v>4</v>
      </c>
      <c r="D7" s="202" t="s">
        <v>5</v>
      </c>
      <c r="E7" s="441" t="s">
        <v>475</v>
      </c>
      <c r="F7" s="441"/>
      <c r="G7" s="441"/>
      <c r="H7" s="439" t="s">
        <v>6</v>
      </c>
      <c r="I7" s="442" t="s">
        <v>7</v>
      </c>
      <c r="J7" s="9"/>
    </row>
    <row r="8" spans="1:15" s="10" customFormat="1" ht="29.25" customHeight="1" thickBot="1" x14ac:dyDescent="0.3">
      <c r="A8" s="436"/>
      <c r="B8" s="438"/>
      <c r="C8" s="438"/>
      <c r="D8" s="203" t="s">
        <v>632</v>
      </c>
      <c r="E8" s="204" t="s">
        <v>476</v>
      </c>
      <c r="F8" s="204" t="s">
        <v>477</v>
      </c>
      <c r="G8" s="204" t="s">
        <v>478</v>
      </c>
      <c r="H8" s="440"/>
      <c r="I8" s="443"/>
      <c r="J8" s="9"/>
    </row>
    <row r="9" spans="1:15" s="16" customFormat="1" ht="14.65" customHeight="1" x14ac:dyDescent="0.25">
      <c r="A9" s="11">
        <v>1</v>
      </c>
      <c r="B9" s="12">
        <v>2</v>
      </c>
      <c r="C9" s="13">
        <v>3</v>
      </c>
      <c r="D9" s="14">
        <v>4</v>
      </c>
      <c r="E9" s="14">
        <v>5</v>
      </c>
      <c r="F9" s="14">
        <v>6</v>
      </c>
      <c r="G9" s="15" t="s">
        <v>582</v>
      </c>
      <c r="H9" s="235" t="s">
        <v>583</v>
      </c>
      <c r="I9" s="205">
        <v>9</v>
      </c>
      <c r="J9" s="7"/>
    </row>
    <row r="10" spans="1:15" x14ac:dyDescent="0.25">
      <c r="A10" s="17"/>
      <c r="B10" s="18"/>
      <c r="C10" s="19"/>
      <c r="D10" s="20"/>
      <c r="E10" s="20"/>
      <c r="F10" s="20"/>
      <c r="G10" s="20"/>
      <c r="H10" s="21"/>
      <c r="I10" s="206"/>
    </row>
    <row r="11" spans="1:15" s="176" customFormat="1" ht="25.5" customHeight="1" x14ac:dyDescent="0.25">
      <c r="A11" s="169"/>
      <c r="B11" s="167" t="s">
        <v>8</v>
      </c>
      <c r="C11" s="185" t="s">
        <v>9</v>
      </c>
      <c r="D11" s="191">
        <f>SUM(D12+D225+D439)</f>
        <v>1141467482471</v>
      </c>
      <c r="E11" s="191">
        <f>SUM(E12+E225+E439)</f>
        <v>88000958539.350006</v>
      </c>
      <c r="F11" s="191">
        <f>SUM(F12+F225+F439)</f>
        <v>66802458555.669998</v>
      </c>
      <c r="G11" s="191">
        <f>SUM(G12+G225+G439)</f>
        <v>154803417095.01999</v>
      </c>
      <c r="H11" s="236">
        <f>G11/D11</f>
        <v>0.13561789492233994</v>
      </c>
      <c r="I11" s="207"/>
      <c r="J11" s="175"/>
      <c r="K11" s="270"/>
    </row>
    <row r="12" spans="1:15" s="176" customFormat="1" ht="27.75" customHeight="1" x14ac:dyDescent="0.25">
      <c r="A12" s="126" t="s">
        <v>10</v>
      </c>
      <c r="B12" s="127" t="s">
        <v>11</v>
      </c>
      <c r="C12" s="41" t="s">
        <v>12</v>
      </c>
      <c r="D12" s="42">
        <f>SUM(D13+D14+D96+D102)</f>
        <v>392981073390</v>
      </c>
      <c r="E12" s="42">
        <f>SUM(E13+E14+E96+E102)</f>
        <v>16803871439.349998</v>
      </c>
      <c r="F12" s="42">
        <f>SUM(F13+F14+F96+F102)</f>
        <v>12869715755.67</v>
      </c>
      <c r="G12" s="42">
        <f>SUM(G13+G14+G96+G102)</f>
        <v>29673587195.02</v>
      </c>
      <c r="H12" s="237">
        <f>G12/D12</f>
        <v>7.5508947387833897E-2</v>
      </c>
      <c r="I12" s="208"/>
      <c r="J12" s="175"/>
    </row>
    <row r="13" spans="1:15" s="176" customFormat="1" ht="25.5" customHeight="1" x14ac:dyDescent="0.25">
      <c r="A13" s="169" t="s">
        <v>13</v>
      </c>
      <c r="B13" s="167" t="s">
        <v>14</v>
      </c>
      <c r="C13" s="185" t="s">
        <v>15</v>
      </c>
      <c r="D13" s="191">
        <f>SUM(D17+D18+D19+D20+D21+D25+D22+D23+D26+D24+D27)</f>
        <v>197002700000</v>
      </c>
      <c r="E13" s="191">
        <f t="shared" ref="E13:G13" si="0">SUM(E17+E18+E19+E20+E21+E25+E22+E23+E26+E24+E27)</f>
        <v>6681967943</v>
      </c>
      <c r="F13" s="191">
        <f t="shared" si="0"/>
        <v>7134587189</v>
      </c>
      <c r="G13" s="191">
        <f t="shared" si="0"/>
        <v>13816555132</v>
      </c>
      <c r="H13" s="236">
        <f>G13/D13</f>
        <v>7.0133836399196556E-2</v>
      </c>
      <c r="I13" s="209"/>
      <c r="J13" s="175"/>
      <c r="K13" s="270"/>
    </row>
    <row r="14" spans="1:15" s="176" customFormat="1" ht="25.5" customHeight="1" x14ac:dyDescent="0.25">
      <c r="A14" s="169" t="s">
        <v>16</v>
      </c>
      <c r="B14" s="167" t="s">
        <v>17</v>
      </c>
      <c r="C14" s="185" t="s">
        <v>18</v>
      </c>
      <c r="D14" s="191">
        <f>SUM(D29+D47+D52+D58+D63+D70+D74+D79+D91+D87+D40)</f>
        <v>47985440000</v>
      </c>
      <c r="E14" s="191">
        <f t="shared" ref="E14:G14" si="1">SUM(E29+E47+E52+E58+E63+E70+E74+E79+E91+E87+E40)</f>
        <v>1843589550</v>
      </c>
      <c r="F14" s="191">
        <f t="shared" si="1"/>
        <v>1835676050</v>
      </c>
      <c r="G14" s="191">
        <f t="shared" si="1"/>
        <v>3679265600</v>
      </c>
      <c r="H14" s="236">
        <f>G14/D14</f>
        <v>7.6674624636139624E-2</v>
      </c>
      <c r="I14" s="209"/>
      <c r="J14" s="280"/>
      <c r="K14" s="281"/>
      <c r="L14" s="282"/>
      <c r="M14" s="282"/>
      <c r="N14" s="282"/>
      <c r="O14" s="282"/>
    </row>
    <row r="15" spans="1:15" s="176" customFormat="1" x14ac:dyDescent="0.25">
      <c r="A15" s="169"/>
      <c r="B15" s="22"/>
      <c r="C15" s="185"/>
      <c r="D15" s="191"/>
      <c r="E15" s="191"/>
      <c r="F15" s="191"/>
      <c r="G15" s="191"/>
      <c r="H15" s="236"/>
      <c r="I15" s="209"/>
      <c r="J15" s="280"/>
      <c r="K15" s="282"/>
      <c r="L15" s="282"/>
      <c r="M15" s="282"/>
      <c r="N15" s="282"/>
      <c r="O15" s="282"/>
    </row>
    <row r="16" spans="1:15" s="187" customFormat="1" ht="22.5" customHeight="1" x14ac:dyDescent="0.25">
      <c r="A16" s="23" t="s">
        <v>19</v>
      </c>
      <c r="B16" s="46" t="s">
        <v>281</v>
      </c>
      <c r="C16" s="185" t="s">
        <v>1</v>
      </c>
      <c r="D16" s="196">
        <f>SUM(D17:D27)</f>
        <v>197002700000</v>
      </c>
      <c r="E16" s="196">
        <f>SUM(E17:E27)</f>
        <v>6681967943</v>
      </c>
      <c r="F16" s="196">
        <f>SUM(F17:F27)</f>
        <v>7134587189</v>
      </c>
      <c r="G16" s="191">
        <f>SUM(G17:G27)</f>
        <v>13816555132</v>
      </c>
      <c r="H16" s="236">
        <f t="shared" ref="H16:H27" si="2">G16/D16</f>
        <v>7.0133836399196556E-2</v>
      </c>
      <c r="I16" s="210"/>
      <c r="J16" s="297"/>
      <c r="K16" s="298"/>
      <c r="L16" s="279"/>
      <c r="M16" s="279"/>
      <c r="N16" s="279"/>
      <c r="O16" s="279"/>
    </row>
    <row r="17" spans="1:15" s="176" customFormat="1" ht="18.75" customHeight="1" x14ac:dyDescent="0.25">
      <c r="A17" s="188"/>
      <c r="B17" s="177" t="s">
        <v>269</v>
      </c>
      <c r="C17" s="183" t="s">
        <v>20</v>
      </c>
      <c r="D17" s="192">
        <v>6000000000</v>
      </c>
      <c r="E17" s="192">
        <f>'Realisasi Januari'!G17</f>
        <v>405830505</v>
      </c>
      <c r="F17" s="192">
        <v>398813309</v>
      </c>
      <c r="G17" s="192">
        <f>E17+F17</f>
        <v>804643814</v>
      </c>
      <c r="H17" s="24">
        <f t="shared" si="2"/>
        <v>0.13410730233333334</v>
      </c>
      <c r="I17" s="211" t="s">
        <v>21</v>
      </c>
      <c r="J17" s="294"/>
      <c r="K17" s="296"/>
      <c r="L17" s="282"/>
      <c r="M17" s="282"/>
      <c r="N17" s="282"/>
      <c r="O17" s="282"/>
    </row>
    <row r="18" spans="1:15" s="176" customFormat="1" ht="18.75" customHeight="1" x14ac:dyDescent="0.25">
      <c r="A18" s="188"/>
      <c r="B18" s="177" t="s">
        <v>270</v>
      </c>
      <c r="C18" s="183" t="s">
        <v>22</v>
      </c>
      <c r="D18" s="192">
        <v>9500000000</v>
      </c>
      <c r="E18" s="192">
        <f>'Realisasi Januari'!G18</f>
        <v>816530000</v>
      </c>
      <c r="F18" s="192">
        <v>857352821</v>
      </c>
      <c r="G18" s="192">
        <f t="shared" ref="G18:G27" si="3">E18+F18</f>
        <v>1673882821</v>
      </c>
      <c r="H18" s="24">
        <f t="shared" si="2"/>
        <v>0.17619819168421053</v>
      </c>
      <c r="I18" s="212" t="s">
        <v>23</v>
      </c>
      <c r="J18" s="294"/>
      <c r="K18" s="296"/>
      <c r="L18" s="282"/>
      <c r="M18" s="282" t="s">
        <v>629</v>
      </c>
      <c r="N18" s="282"/>
      <c r="O18" s="282"/>
    </row>
    <row r="19" spans="1:15" s="176" customFormat="1" ht="18.75" customHeight="1" x14ac:dyDescent="0.25">
      <c r="A19" s="188"/>
      <c r="B19" s="177" t="s">
        <v>271</v>
      </c>
      <c r="C19" s="183" t="s">
        <v>24</v>
      </c>
      <c r="D19" s="192">
        <v>1500000000</v>
      </c>
      <c r="E19" s="192">
        <f>'Realisasi Januari'!G19</f>
        <v>155875751</v>
      </c>
      <c r="F19" s="192">
        <v>132432833</v>
      </c>
      <c r="G19" s="192">
        <f t="shared" si="3"/>
        <v>288308584</v>
      </c>
      <c r="H19" s="24">
        <f t="shared" si="2"/>
        <v>0.19220572266666666</v>
      </c>
      <c r="I19" s="211" t="s">
        <v>25</v>
      </c>
      <c r="J19" s="294"/>
      <c r="K19" s="296"/>
      <c r="L19" s="282"/>
      <c r="M19" s="282"/>
      <c r="N19" s="282"/>
      <c r="O19" s="282"/>
    </row>
    <row r="20" spans="1:15" s="176" customFormat="1" ht="18.75" customHeight="1" x14ac:dyDescent="0.25">
      <c r="A20" s="188"/>
      <c r="B20" s="177" t="s">
        <v>272</v>
      </c>
      <c r="C20" s="183" t="s">
        <v>26</v>
      </c>
      <c r="D20" s="192">
        <v>3500000000</v>
      </c>
      <c r="E20" s="192">
        <f>'Realisasi Januari'!G20</f>
        <v>199533009</v>
      </c>
      <c r="F20" s="192">
        <v>380674611</v>
      </c>
      <c r="G20" s="192">
        <f t="shared" si="3"/>
        <v>580207620</v>
      </c>
      <c r="H20" s="24">
        <f t="shared" si="2"/>
        <v>0.1657736057142857</v>
      </c>
      <c r="I20" s="211" t="s">
        <v>27</v>
      </c>
      <c r="J20" s="294"/>
      <c r="K20" s="296"/>
      <c r="L20" s="282"/>
      <c r="M20" s="282"/>
      <c r="N20" s="282"/>
      <c r="O20" s="282"/>
    </row>
    <row r="21" spans="1:15" s="176" customFormat="1" ht="18.75" customHeight="1" x14ac:dyDescent="0.25">
      <c r="A21" s="188"/>
      <c r="B21" s="177" t="s">
        <v>676</v>
      </c>
      <c r="C21" s="183" t="s">
        <v>677</v>
      </c>
      <c r="D21" s="192">
        <v>51000000000</v>
      </c>
      <c r="E21" s="192">
        <f>'Realisasi Januari'!G21</f>
        <v>4848434872</v>
      </c>
      <c r="F21" s="192">
        <f>3335596480+430229414</f>
        <v>3765825894</v>
      </c>
      <c r="G21" s="192">
        <f t="shared" si="3"/>
        <v>8614260766</v>
      </c>
      <c r="H21" s="24">
        <f t="shared" si="2"/>
        <v>0.16890707384313725</v>
      </c>
      <c r="I21" s="211" t="s">
        <v>28</v>
      </c>
      <c r="J21" s="294"/>
      <c r="K21" s="296"/>
      <c r="L21" s="282"/>
      <c r="M21" s="282"/>
      <c r="N21" s="282"/>
      <c r="O21" s="282"/>
    </row>
    <row r="22" spans="1:15" s="176" customFormat="1" ht="18.75" customHeight="1" x14ac:dyDescent="0.25">
      <c r="A22" s="188"/>
      <c r="B22" s="177" t="s">
        <v>273</v>
      </c>
      <c r="C22" s="183" t="s">
        <v>31</v>
      </c>
      <c r="D22" s="192">
        <v>1800000000</v>
      </c>
      <c r="E22" s="192">
        <f>'Realisasi Januari'!G22</f>
        <v>71311200</v>
      </c>
      <c r="F22" s="192">
        <v>62986200</v>
      </c>
      <c r="G22" s="192">
        <f t="shared" si="3"/>
        <v>134297400</v>
      </c>
      <c r="H22" s="24">
        <f t="shared" si="2"/>
        <v>7.4609666666666671E-2</v>
      </c>
      <c r="I22" s="213" t="s">
        <v>32</v>
      </c>
      <c r="J22" s="294"/>
      <c r="K22" s="296"/>
      <c r="L22" s="282"/>
      <c r="M22" s="282"/>
      <c r="N22" s="282"/>
      <c r="O22" s="282"/>
    </row>
    <row r="23" spans="1:15" s="176" customFormat="1" ht="18.75" customHeight="1" x14ac:dyDescent="0.25">
      <c r="A23" s="188"/>
      <c r="B23" s="177" t="s">
        <v>274</v>
      </c>
      <c r="C23" s="183" t="s">
        <v>33</v>
      </c>
      <c r="D23" s="192">
        <v>1430800000</v>
      </c>
      <c r="E23" s="192">
        <f>'Realisasi Januari'!G23</f>
        <v>48703235</v>
      </c>
      <c r="F23" s="192">
        <v>70440378</v>
      </c>
      <c r="G23" s="192">
        <f t="shared" si="3"/>
        <v>119143613</v>
      </c>
      <c r="H23" s="24">
        <f t="shared" si="2"/>
        <v>8.3270626922001684E-2</v>
      </c>
      <c r="I23" s="213" t="s">
        <v>34</v>
      </c>
      <c r="J23" s="294"/>
      <c r="K23" s="296"/>
      <c r="L23" s="282"/>
      <c r="M23" s="282"/>
      <c r="N23" s="282"/>
      <c r="O23" s="282"/>
    </row>
    <row r="24" spans="1:15" s="176" customFormat="1" ht="18.75" customHeight="1" x14ac:dyDescent="0.25">
      <c r="A24" s="188"/>
      <c r="B24" s="177" t="s">
        <v>275</v>
      </c>
      <c r="C24" s="183" t="s">
        <v>35</v>
      </c>
      <c r="D24" s="192">
        <v>115200000</v>
      </c>
      <c r="E24" s="192">
        <f>'Realisasi Januari'!G24</f>
        <v>21402800</v>
      </c>
      <c r="F24" s="192">
        <v>2393050</v>
      </c>
      <c r="G24" s="192">
        <f t="shared" si="3"/>
        <v>23795850</v>
      </c>
      <c r="H24" s="24">
        <f t="shared" si="2"/>
        <v>0.20656119791666666</v>
      </c>
      <c r="I24" s="213" t="s">
        <v>36</v>
      </c>
      <c r="J24" s="294"/>
      <c r="K24" s="296"/>
      <c r="L24" s="282"/>
      <c r="M24" s="282"/>
      <c r="N24" s="282"/>
      <c r="O24" s="282"/>
    </row>
    <row r="25" spans="1:15" s="176" customFormat="1" ht="18.75" customHeight="1" x14ac:dyDescent="0.25">
      <c r="A25" s="188"/>
      <c r="B25" s="177" t="s">
        <v>276</v>
      </c>
      <c r="C25" s="183" t="s">
        <v>29</v>
      </c>
      <c r="D25" s="192">
        <v>1606700000</v>
      </c>
      <c r="E25" s="192">
        <f>'Realisasi Januari'!G25</f>
        <v>0</v>
      </c>
      <c r="F25" s="192">
        <v>0</v>
      </c>
      <c r="G25" s="192">
        <f t="shared" si="3"/>
        <v>0</v>
      </c>
      <c r="H25" s="24">
        <f t="shared" si="2"/>
        <v>0</v>
      </c>
      <c r="I25" s="214" t="s">
        <v>30</v>
      </c>
      <c r="J25" s="294"/>
      <c r="K25" s="296"/>
      <c r="L25" s="295"/>
      <c r="M25" s="295"/>
      <c r="N25" s="282"/>
      <c r="O25" s="282"/>
    </row>
    <row r="26" spans="1:15" s="176" customFormat="1" ht="18.75" customHeight="1" x14ac:dyDescent="0.25">
      <c r="A26" s="188"/>
      <c r="B26" s="177" t="s">
        <v>277</v>
      </c>
      <c r="C26" s="171" t="s">
        <v>278</v>
      </c>
      <c r="D26" s="178">
        <v>101000000000</v>
      </c>
      <c r="E26" s="192">
        <f>'Realisasi Januari'!G26</f>
        <v>32331821</v>
      </c>
      <c r="F26" s="178">
        <v>480180691</v>
      </c>
      <c r="G26" s="192">
        <f t="shared" si="3"/>
        <v>512512512</v>
      </c>
      <c r="H26" s="24">
        <f t="shared" si="2"/>
        <v>5.0743813069306929E-3</v>
      </c>
      <c r="I26" s="213" t="s">
        <v>37</v>
      </c>
      <c r="J26" s="294"/>
      <c r="K26" s="296"/>
      <c r="L26" s="295"/>
      <c r="M26" s="295"/>
    </row>
    <row r="27" spans="1:15" s="176" customFormat="1" x14ac:dyDescent="0.25">
      <c r="A27" s="188"/>
      <c r="B27" s="177" t="s">
        <v>279</v>
      </c>
      <c r="C27" s="183" t="s">
        <v>38</v>
      </c>
      <c r="D27" s="178">
        <v>19550000000</v>
      </c>
      <c r="E27" s="192">
        <f>'Realisasi Januari'!G27</f>
        <v>82014750</v>
      </c>
      <c r="F27" s="178">
        <v>983487402</v>
      </c>
      <c r="G27" s="192">
        <f t="shared" si="3"/>
        <v>1065502152</v>
      </c>
      <c r="H27" s="24">
        <f t="shared" si="2"/>
        <v>5.4501388849104861E-2</v>
      </c>
      <c r="I27" s="215" t="s">
        <v>474</v>
      </c>
      <c r="J27" s="294"/>
      <c r="K27" s="296"/>
      <c r="L27" s="295"/>
      <c r="M27" s="295"/>
    </row>
    <row r="28" spans="1:15" s="176" customFormat="1" x14ac:dyDescent="0.25">
      <c r="A28" s="169"/>
      <c r="B28" s="22"/>
      <c r="C28" s="25"/>
      <c r="D28" s="191"/>
      <c r="E28" s="191"/>
      <c r="F28" s="191"/>
      <c r="G28" s="191"/>
      <c r="H28" s="236"/>
      <c r="I28" s="216"/>
      <c r="J28" s="294"/>
      <c r="K28" s="295"/>
    </row>
    <row r="29" spans="1:15" s="187" customFormat="1" x14ac:dyDescent="0.25">
      <c r="A29" s="26" t="s">
        <v>39</v>
      </c>
      <c r="B29" s="22" t="s">
        <v>282</v>
      </c>
      <c r="C29" s="185" t="s">
        <v>40</v>
      </c>
      <c r="D29" s="196">
        <f>D30</f>
        <v>1000000000</v>
      </c>
      <c r="E29" s="196">
        <f t="shared" ref="E29:F29" si="4">E30</f>
        <v>35467000</v>
      </c>
      <c r="F29" s="196">
        <f t="shared" si="4"/>
        <v>30891000</v>
      </c>
      <c r="G29" s="196">
        <f t="shared" ref="G29" si="5">G30</f>
        <v>66358000</v>
      </c>
      <c r="H29" s="236">
        <f t="shared" ref="H29:H35" si="6">G29/D29</f>
        <v>6.6358E-2</v>
      </c>
      <c r="I29" s="216"/>
      <c r="J29" s="297"/>
      <c r="K29" s="298"/>
    </row>
    <row r="30" spans="1:15" s="187" customFormat="1" x14ac:dyDescent="0.25">
      <c r="A30" s="26" t="s">
        <v>413</v>
      </c>
      <c r="B30" s="170" t="s">
        <v>288</v>
      </c>
      <c r="C30" s="185" t="s">
        <v>55</v>
      </c>
      <c r="D30" s="196">
        <f>D31+D37</f>
        <v>1000000000</v>
      </c>
      <c r="E30" s="196">
        <f t="shared" ref="E30" si="7">E31+E37</f>
        <v>35467000</v>
      </c>
      <c r="F30" s="196">
        <f>F31+F37</f>
        <v>30891000</v>
      </c>
      <c r="G30" s="196">
        <f t="shared" ref="G30" si="8">G31+G37</f>
        <v>66358000</v>
      </c>
      <c r="H30" s="236">
        <f t="shared" si="6"/>
        <v>6.6358E-2</v>
      </c>
      <c r="I30" s="216"/>
      <c r="J30" s="297"/>
      <c r="K30" s="298"/>
    </row>
    <row r="31" spans="1:15" s="176" customFormat="1" x14ac:dyDescent="0.25">
      <c r="A31" s="188"/>
      <c r="B31" s="179" t="s">
        <v>488</v>
      </c>
      <c r="C31" s="185" t="s">
        <v>280</v>
      </c>
      <c r="D31" s="191">
        <f>SUM(D32:D35)</f>
        <v>750000000</v>
      </c>
      <c r="E31" s="191">
        <f t="shared" ref="E31:F31" si="9">SUM(E32:E35)</f>
        <v>29617000</v>
      </c>
      <c r="F31" s="191">
        <f t="shared" si="9"/>
        <v>22205000</v>
      </c>
      <c r="G31" s="191">
        <f>SUM(G32:G35)</f>
        <v>51822000</v>
      </c>
      <c r="H31" s="236">
        <f t="shared" si="6"/>
        <v>6.9096000000000005E-2</v>
      </c>
      <c r="I31" s="207" t="s">
        <v>41</v>
      </c>
      <c r="J31" s="294"/>
      <c r="K31" s="295"/>
    </row>
    <row r="32" spans="1:15" s="176" customFormat="1" x14ac:dyDescent="0.25">
      <c r="A32" s="188"/>
      <c r="B32" s="177" t="s">
        <v>489</v>
      </c>
      <c r="C32" s="183" t="s">
        <v>42</v>
      </c>
      <c r="D32" s="192">
        <v>220000000</v>
      </c>
      <c r="E32" s="192">
        <f>'Realisasi Januari'!G32</f>
        <v>5477000</v>
      </c>
      <c r="F32" s="192">
        <v>4605000</v>
      </c>
      <c r="G32" s="192">
        <f>E32+F32</f>
        <v>10082000</v>
      </c>
      <c r="H32" s="24">
        <f t="shared" si="6"/>
        <v>4.582727272727273E-2</v>
      </c>
      <c r="I32" s="207"/>
      <c r="J32" s="294"/>
      <c r="K32" s="295"/>
    </row>
    <row r="33" spans="1:10" s="176" customFormat="1" x14ac:dyDescent="0.25">
      <c r="A33" s="188"/>
      <c r="B33" s="177" t="s">
        <v>490</v>
      </c>
      <c r="C33" s="183" t="s">
        <v>43</v>
      </c>
      <c r="D33" s="192">
        <v>494000000</v>
      </c>
      <c r="E33" s="192">
        <f>'Realisasi Januari'!G33</f>
        <v>20390000</v>
      </c>
      <c r="F33" s="192">
        <v>17600000</v>
      </c>
      <c r="G33" s="192">
        <f t="shared" ref="G33:G35" si="10">E33+F33</f>
        <v>37990000</v>
      </c>
      <c r="H33" s="24">
        <f t="shared" si="6"/>
        <v>7.6902834008097165E-2</v>
      </c>
      <c r="I33" s="207"/>
      <c r="J33" s="175"/>
    </row>
    <row r="34" spans="1:10" s="176" customFormat="1" x14ac:dyDescent="0.25">
      <c r="A34" s="188"/>
      <c r="B34" s="177" t="s">
        <v>491</v>
      </c>
      <c r="C34" s="183" t="s">
        <v>44</v>
      </c>
      <c r="D34" s="192">
        <v>36000000</v>
      </c>
      <c r="E34" s="192">
        <f>'Realisasi Januari'!G34</f>
        <v>3750000</v>
      </c>
      <c r="F34" s="192">
        <v>0</v>
      </c>
      <c r="G34" s="192">
        <f t="shared" si="10"/>
        <v>3750000</v>
      </c>
      <c r="H34" s="24">
        <f t="shared" si="6"/>
        <v>0.10416666666666667</v>
      </c>
      <c r="I34" s="207"/>
      <c r="J34" s="175"/>
    </row>
    <row r="35" spans="1:10" s="176" customFormat="1" hidden="1" x14ac:dyDescent="0.25">
      <c r="A35" s="188"/>
      <c r="B35" s="177"/>
      <c r="C35" s="183" t="s">
        <v>45</v>
      </c>
      <c r="D35" s="192"/>
      <c r="E35" s="192"/>
      <c r="F35" s="192"/>
      <c r="G35" s="192">
        <f t="shared" si="10"/>
        <v>0</v>
      </c>
      <c r="H35" s="24" t="e">
        <f t="shared" si="6"/>
        <v>#DIV/0!</v>
      </c>
      <c r="I35" s="207"/>
      <c r="J35" s="175"/>
    </row>
    <row r="36" spans="1:10" s="176" customFormat="1" ht="15" customHeight="1" x14ac:dyDescent="0.25">
      <c r="A36" s="188"/>
      <c r="B36" s="177"/>
      <c r="C36" s="166"/>
      <c r="D36" s="192"/>
      <c r="E36" s="192"/>
      <c r="F36" s="192"/>
      <c r="G36" s="192"/>
      <c r="H36" s="24"/>
      <c r="I36" s="207"/>
      <c r="J36" s="175"/>
    </row>
    <row r="37" spans="1:10" s="187" customFormat="1" x14ac:dyDescent="0.25">
      <c r="A37" s="26" t="s">
        <v>414</v>
      </c>
      <c r="B37" s="170" t="s">
        <v>492</v>
      </c>
      <c r="C37" s="185" t="s">
        <v>494</v>
      </c>
      <c r="D37" s="196">
        <f>D38</f>
        <v>250000000</v>
      </c>
      <c r="E37" s="196">
        <f t="shared" ref="E37:G37" si="11">E38</f>
        <v>5850000</v>
      </c>
      <c r="F37" s="196">
        <f t="shared" si="11"/>
        <v>8686000</v>
      </c>
      <c r="G37" s="196">
        <f t="shared" si="11"/>
        <v>14536000</v>
      </c>
      <c r="H37" s="236">
        <f>G37/D37</f>
        <v>5.8144000000000001E-2</v>
      </c>
      <c r="I37" s="216"/>
      <c r="J37" s="186"/>
    </row>
    <row r="38" spans="1:10" s="176" customFormat="1" x14ac:dyDescent="0.25">
      <c r="A38" s="188"/>
      <c r="B38" s="177" t="s">
        <v>493</v>
      </c>
      <c r="C38" s="183" t="s">
        <v>495</v>
      </c>
      <c r="D38" s="192">
        <v>250000000</v>
      </c>
      <c r="E38" s="192">
        <f>'Realisasi Januari'!G38</f>
        <v>5850000</v>
      </c>
      <c r="F38" s="192">
        <v>8686000</v>
      </c>
      <c r="G38" s="181">
        <f>E38+F38</f>
        <v>14536000</v>
      </c>
      <c r="H38" s="24">
        <f>G38/D38</f>
        <v>5.8144000000000001E-2</v>
      </c>
      <c r="I38" s="207" t="s">
        <v>41</v>
      </c>
      <c r="J38" s="175"/>
    </row>
    <row r="39" spans="1:10" s="176" customFormat="1" ht="15" customHeight="1" x14ac:dyDescent="0.25">
      <c r="A39" s="188"/>
      <c r="B39" s="177"/>
      <c r="C39" s="166"/>
      <c r="D39" s="192"/>
      <c r="E39" s="192"/>
      <c r="F39" s="192"/>
      <c r="G39" s="192"/>
      <c r="H39" s="24"/>
      <c r="I39" s="207"/>
      <c r="J39" s="175"/>
    </row>
    <row r="40" spans="1:10" s="176" customFormat="1" x14ac:dyDescent="0.25">
      <c r="A40" s="168" t="s">
        <v>46</v>
      </c>
      <c r="B40" s="22" t="s">
        <v>592</v>
      </c>
      <c r="C40" s="185" t="s">
        <v>594</v>
      </c>
      <c r="D40" s="196">
        <f>SUM(D41)</f>
        <v>135000000</v>
      </c>
      <c r="E40" s="196">
        <f t="shared" ref="E40:F40" si="12">SUM(E41)</f>
        <v>4400000</v>
      </c>
      <c r="F40" s="196">
        <f t="shared" si="12"/>
        <v>1600000</v>
      </c>
      <c r="G40" s="196">
        <f t="shared" ref="G40" si="13">SUM(G41)</f>
        <v>6000000</v>
      </c>
      <c r="H40" s="236">
        <f t="shared" ref="H40:H45" si="14">G40/D40</f>
        <v>4.4444444444444446E-2</v>
      </c>
      <c r="I40" s="207"/>
      <c r="J40" s="175"/>
    </row>
    <row r="41" spans="1:10" s="176" customFormat="1" x14ac:dyDescent="0.25">
      <c r="A41" s="188"/>
      <c r="B41" s="170" t="s">
        <v>285</v>
      </c>
      <c r="C41" s="185" t="s">
        <v>444</v>
      </c>
      <c r="D41" s="191">
        <f>D42</f>
        <v>135000000</v>
      </c>
      <c r="E41" s="191">
        <f t="shared" ref="E41:F41" si="15">E42</f>
        <v>4400000</v>
      </c>
      <c r="F41" s="191">
        <f t="shared" si="15"/>
        <v>1600000</v>
      </c>
      <c r="G41" s="191">
        <f t="shared" ref="G41" si="16">G42</f>
        <v>6000000</v>
      </c>
      <c r="H41" s="236">
        <f t="shared" si="14"/>
        <v>4.4444444444444446E-2</v>
      </c>
      <c r="I41" s="207"/>
      <c r="J41" s="175"/>
    </row>
    <row r="42" spans="1:10" s="187" customFormat="1" x14ac:dyDescent="0.25">
      <c r="A42" s="169"/>
      <c r="B42" s="170" t="s">
        <v>284</v>
      </c>
      <c r="C42" s="185" t="s">
        <v>595</v>
      </c>
      <c r="D42" s="191">
        <f>SUM(D43)</f>
        <v>135000000</v>
      </c>
      <c r="E42" s="191">
        <f t="shared" ref="E42:F42" si="17">SUM(E43)</f>
        <v>4400000</v>
      </c>
      <c r="F42" s="191">
        <f t="shared" si="17"/>
        <v>1600000</v>
      </c>
      <c r="G42" s="191">
        <f t="shared" ref="G42" si="18">SUM(G43)</f>
        <v>6000000</v>
      </c>
      <c r="H42" s="236">
        <f t="shared" si="14"/>
        <v>4.4444444444444446E-2</v>
      </c>
      <c r="I42" s="216"/>
      <c r="J42" s="186"/>
    </row>
    <row r="43" spans="1:10" s="176" customFormat="1" x14ac:dyDescent="0.25">
      <c r="A43" s="188"/>
      <c r="B43" s="170" t="s">
        <v>593</v>
      </c>
      <c r="C43" s="185" t="s">
        <v>595</v>
      </c>
      <c r="D43" s="191">
        <f>SUM(D44:D45)</f>
        <v>135000000</v>
      </c>
      <c r="E43" s="191">
        <f t="shared" ref="E43:F43" si="19">SUM(E44:E45)</f>
        <v>4400000</v>
      </c>
      <c r="F43" s="191">
        <f t="shared" si="19"/>
        <v>1600000</v>
      </c>
      <c r="G43" s="191">
        <f t="shared" ref="G43" si="20">SUM(G44:G45)</f>
        <v>6000000</v>
      </c>
      <c r="H43" s="236">
        <f t="shared" si="14"/>
        <v>4.4444444444444446E-2</v>
      </c>
      <c r="I43" s="207" t="s">
        <v>47</v>
      </c>
      <c r="J43" s="175"/>
    </row>
    <row r="44" spans="1:10" s="176" customFormat="1" x14ac:dyDescent="0.25">
      <c r="A44" s="188"/>
      <c r="B44" s="178"/>
      <c r="C44" s="193" t="s">
        <v>316</v>
      </c>
      <c r="D44" s="192">
        <v>5000000</v>
      </c>
      <c r="E44" s="192">
        <f>'Realisasi Januari'!G44</f>
        <v>0</v>
      </c>
      <c r="F44" s="192">
        <v>0</v>
      </c>
      <c r="G44" s="192">
        <f>E44+F44</f>
        <v>0</v>
      </c>
      <c r="H44" s="24">
        <f t="shared" si="14"/>
        <v>0</v>
      </c>
      <c r="I44" s="207"/>
      <c r="J44" s="175"/>
    </row>
    <row r="45" spans="1:10" s="176" customFormat="1" x14ac:dyDescent="0.25">
      <c r="A45" s="188"/>
      <c r="B45" s="178"/>
      <c r="C45" s="193" t="s">
        <v>317</v>
      </c>
      <c r="D45" s="192">
        <v>130000000</v>
      </c>
      <c r="E45" s="192">
        <f>'Realisasi Januari'!G45</f>
        <v>4400000</v>
      </c>
      <c r="F45" s="192">
        <v>1600000</v>
      </c>
      <c r="G45" s="192">
        <f>E45+F45</f>
        <v>6000000</v>
      </c>
      <c r="H45" s="24">
        <f t="shared" si="14"/>
        <v>4.6153846153846156E-2</v>
      </c>
      <c r="I45" s="207"/>
      <c r="J45" s="175"/>
    </row>
    <row r="46" spans="1:10" s="176" customFormat="1" ht="15" customHeight="1" x14ac:dyDescent="0.25">
      <c r="A46" s="188"/>
      <c r="B46" s="177"/>
      <c r="C46" s="166"/>
      <c r="D46" s="192"/>
      <c r="E46" s="192"/>
      <c r="F46" s="192"/>
      <c r="G46" s="192"/>
      <c r="H46" s="24"/>
      <c r="I46" s="207"/>
      <c r="J46" s="175"/>
    </row>
    <row r="47" spans="1:10" s="176" customFormat="1" x14ac:dyDescent="0.25">
      <c r="A47" s="168" t="s">
        <v>8</v>
      </c>
      <c r="B47" s="22" t="s">
        <v>283</v>
      </c>
      <c r="C47" s="185" t="s">
        <v>48</v>
      </c>
      <c r="D47" s="196">
        <f>SUM(D48)</f>
        <v>50000000</v>
      </c>
      <c r="E47" s="196">
        <f t="shared" ref="E47:F47" si="21">SUM(E48)</f>
        <v>2400000</v>
      </c>
      <c r="F47" s="196">
        <f t="shared" si="21"/>
        <v>0</v>
      </c>
      <c r="G47" s="196">
        <f t="shared" ref="G47" si="22">SUM(G48)</f>
        <v>2400000</v>
      </c>
      <c r="H47" s="236">
        <f>G47/D47</f>
        <v>4.8000000000000001E-2</v>
      </c>
      <c r="I47" s="207"/>
      <c r="J47" s="175"/>
    </row>
    <row r="48" spans="1:10" s="176" customFormat="1" x14ac:dyDescent="0.25">
      <c r="A48" s="188"/>
      <c r="B48" s="170" t="s">
        <v>285</v>
      </c>
      <c r="C48" s="185" t="s">
        <v>444</v>
      </c>
      <c r="D48" s="191">
        <f>D49</f>
        <v>50000000</v>
      </c>
      <c r="E48" s="191">
        <f t="shared" ref="E48:F48" si="23">E49</f>
        <v>2400000</v>
      </c>
      <c r="F48" s="191">
        <f t="shared" si="23"/>
        <v>0</v>
      </c>
      <c r="G48" s="191">
        <f t="shared" ref="G48" si="24">G49</f>
        <v>2400000</v>
      </c>
      <c r="H48" s="236">
        <f>G48/D48</f>
        <v>4.8000000000000001E-2</v>
      </c>
      <c r="I48" s="207"/>
      <c r="J48" s="175"/>
    </row>
    <row r="49" spans="1:11" s="187" customFormat="1" x14ac:dyDescent="0.25">
      <c r="A49" s="169"/>
      <c r="B49" s="170" t="s">
        <v>284</v>
      </c>
      <c r="C49" s="185" t="s">
        <v>286</v>
      </c>
      <c r="D49" s="191">
        <f>SUM(D50)</f>
        <v>50000000</v>
      </c>
      <c r="E49" s="191">
        <f t="shared" ref="E49:F49" si="25">SUM(E50)</f>
        <v>2400000</v>
      </c>
      <c r="F49" s="191">
        <f t="shared" si="25"/>
        <v>0</v>
      </c>
      <c r="G49" s="191">
        <f t="shared" ref="G49" si="26">SUM(G50)</f>
        <v>2400000</v>
      </c>
      <c r="H49" s="236">
        <f>G49/D49</f>
        <v>4.8000000000000001E-2</v>
      </c>
      <c r="I49" s="216"/>
      <c r="J49" s="186"/>
    </row>
    <row r="50" spans="1:11" s="176" customFormat="1" x14ac:dyDescent="0.25">
      <c r="A50" s="188"/>
      <c r="B50" s="178" t="s">
        <v>496</v>
      </c>
      <c r="C50" s="183" t="s">
        <v>497</v>
      </c>
      <c r="D50" s="192">
        <v>50000000</v>
      </c>
      <c r="E50" s="192">
        <f>'Realisasi Januari'!G50</f>
        <v>2400000</v>
      </c>
      <c r="F50" s="192">
        <f>'[1]2022'!$G$17</f>
        <v>0</v>
      </c>
      <c r="G50" s="192">
        <f>E50+F50</f>
        <v>2400000</v>
      </c>
      <c r="H50" s="24">
        <f>G50/D50</f>
        <v>4.8000000000000001E-2</v>
      </c>
      <c r="I50" s="207" t="s">
        <v>47</v>
      </c>
      <c r="J50" s="175"/>
    </row>
    <row r="51" spans="1:11" s="176" customFormat="1" x14ac:dyDescent="0.25">
      <c r="A51" s="169"/>
      <c r="B51" s="22"/>
      <c r="C51" s="25"/>
      <c r="D51" s="192"/>
      <c r="E51" s="192"/>
      <c r="F51" s="192"/>
      <c r="G51" s="191"/>
      <c r="H51" s="236"/>
      <c r="I51" s="207"/>
      <c r="J51" s="175"/>
    </row>
    <row r="52" spans="1:11" s="176" customFormat="1" x14ac:dyDescent="0.25">
      <c r="A52" s="168" t="s">
        <v>49</v>
      </c>
      <c r="B52" s="22" t="s">
        <v>287</v>
      </c>
      <c r="C52" s="185" t="s">
        <v>50</v>
      </c>
      <c r="D52" s="196">
        <f>D53</f>
        <v>750000000</v>
      </c>
      <c r="E52" s="196">
        <f t="shared" ref="E52:G52" si="27">E53</f>
        <v>74720000</v>
      </c>
      <c r="F52" s="196">
        <f t="shared" si="27"/>
        <v>51200000</v>
      </c>
      <c r="G52" s="196">
        <f t="shared" si="27"/>
        <v>125920000</v>
      </c>
      <c r="H52" s="236">
        <f>G52/D52</f>
        <v>0.16789333333333334</v>
      </c>
      <c r="I52" s="207"/>
      <c r="J52" s="175"/>
    </row>
    <row r="53" spans="1:11" s="187" customFormat="1" x14ac:dyDescent="0.25">
      <c r="A53" s="169"/>
      <c r="B53" s="170" t="s">
        <v>288</v>
      </c>
      <c r="C53" s="185" t="s">
        <v>55</v>
      </c>
      <c r="D53" s="191">
        <f>D54</f>
        <v>750000000</v>
      </c>
      <c r="E53" s="191">
        <f t="shared" ref="E53" si="28">E54</f>
        <v>74720000</v>
      </c>
      <c r="F53" s="191">
        <f t="shared" ref="F53:G54" si="29">F54</f>
        <v>51200000</v>
      </c>
      <c r="G53" s="191">
        <f t="shared" si="29"/>
        <v>125920000</v>
      </c>
      <c r="H53" s="236">
        <f>G53/D53</f>
        <v>0.16789333333333334</v>
      </c>
      <c r="I53" s="216" t="s">
        <v>52</v>
      </c>
      <c r="J53" s="186"/>
    </row>
    <row r="54" spans="1:11" s="176" customFormat="1" x14ac:dyDescent="0.25">
      <c r="A54" s="188"/>
      <c r="B54" s="170" t="s">
        <v>499</v>
      </c>
      <c r="C54" s="185" t="s">
        <v>51</v>
      </c>
      <c r="D54" s="191">
        <f>D55</f>
        <v>750000000</v>
      </c>
      <c r="E54" s="191">
        <f t="shared" ref="E54" si="30">E55</f>
        <v>74720000</v>
      </c>
      <c r="F54" s="191">
        <f t="shared" si="29"/>
        <v>51200000</v>
      </c>
      <c r="G54" s="191">
        <f t="shared" si="29"/>
        <v>125920000</v>
      </c>
      <c r="H54" s="236">
        <f>G54/D54</f>
        <v>0.16789333333333334</v>
      </c>
      <c r="I54" s="207"/>
      <c r="J54" s="175"/>
    </row>
    <row r="55" spans="1:11" s="176" customFormat="1" x14ac:dyDescent="0.25">
      <c r="A55" s="188"/>
      <c r="B55" s="178" t="s">
        <v>498</v>
      </c>
      <c r="C55" s="183" t="s">
        <v>51</v>
      </c>
      <c r="D55" s="192">
        <v>750000000</v>
      </c>
      <c r="E55" s="192">
        <f>'Realisasi Januari'!G55</f>
        <v>74720000</v>
      </c>
      <c r="F55" s="192">
        <v>51200000</v>
      </c>
      <c r="G55" s="192">
        <f>E55+F55</f>
        <v>125920000</v>
      </c>
      <c r="H55" s="24">
        <f>G55/D55</f>
        <v>0.16789333333333334</v>
      </c>
      <c r="I55" s="207"/>
      <c r="J55" s="175"/>
      <c r="K55" s="270"/>
    </row>
    <row r="56" spans="1:11" s="176" customFormat="1" x14ac:dyDescent="0.25">
      <c r="A56" s="169"/>
      <c r="B56" s="22"/>
      <c r="C56" s="25"/>
      <c r="D56" s="191"/>
      <c r="E56" s="191"/>
      <c r="F56" s="191"/>
      <c r="G56" s="191"/>
      <c r="H56" s="236"/>
      <c r="I56" s="217"/>
      <c r="J56" s="175"/>
    </row>
    <row r="57" spans="1:11" s="176" customFormat="1" x14ac:dyDescent="0.25">
      <c r="A57" s="168" t="s">
        <v>53</v>
      </c>
      <c r="B57" s="22" t="s">
        <v>289</v>
      </c>
      <c r="C57" s="185" t="s">
        <v>54</v>
      </c>
      <c r="D57" s="196">
        <f>D58+D63+D70</f>
        <v>30000000000</v>
      </c>
      <c r="E57" s="196">
        <f t="shared" ref="E57:G57" si="31">E58+E63+E70</f>
        <v>1723802550</v>
      </c>
      <c r="F57" s="196">
        <f t="shared" si="31"/>
        <v>1746720050</v>
      </c>
      <c r="G57" s="196">
        <f t="shared" si="31"/>
        <v>3470522600</v>
      </c>
      <c r="H57" s="236">
        <f t="shared" ref="H57:H72" si="32">G57/D57</f>
        <v>0.11568408666666667</v>
      </c>
      <c r="I57" s="209"/>
      <c r="J57" s="175"/>
    </row>
    <row r="58" spans="1:11" s="187" customFormat="1" x14ac:dyDescent="0.25">
      <c r="A58" s="169" t="s">
        <v>413</v>
      </c>
      <c r="B58" s="170" t="s">
        <v>288</v>
      </c>
      <c r="C58" s="185" t="s">
        <v>55</v>
      </c>
      <c r="D58" s="191">
        <f>D59+D61</f>
        <v>1829475000</v>
      </c>
      <c r="E58" s="191">
        <f t="shared" ref="E58:F58" si="33">E59+E61</f>
        <v>32710800</v>
      </c>
      <c r="F58" s="191">
        <f t="shared" si="33"/>
        <v>15098750</v>
      </c>
      <c r="G58" s="191">
        <f t="shared" ref="G58" si="34">G59+G61</f>
        <v>47809550</v>
      </c>
      <c r="H58" s="236">
        <f t="shared" si="32"/>
        <v>2.6132934311756104E-2</v>
      </c>
      <c r="I58" s="207"/>
      <c r="J58" s="186"/>
    </row>
    <row r="59" spans="1:11" s="187" customFormat="1" x14ac:dyDescent="0.25">
      <c r="A59" s="169"/>
      <c r="B59" s="170" t="s">
        <v>290</v>
      </c>
      <c r="C59" s="185" t="s">
        <v>56</v>
      </c>
      <c r="D59" s="191">
        <f>D60</f>
        <v>1000000000</v>
      </c>
      <c r="E59" s="191">
        <f t="shared" ref="E59:F59" si="35">E60</f>
        <v>26600000</v>
      </c>
      <c r="F59" s="191">
        <f t="shared" si="35"/>
        <v>6400000</v>
      </c>
      <c r="G59" s="191">
        <f t="shared" ref="G59" si="36">G60</f>
        <v>33000000</v>
      </c>
      <c r="H59" s="236">
        <f t="shared" si="32"/>
        <v>3.3000000000000002E-2</v>
      </c>
      <c r="I59" s="207"/>
      <c r="J59" s="186"/>
    </row>
    <row r="60" spans="1:11" s="176" customFormat="1" x14ac:dyDescent="0.25">
      <c r="A60" s="188"/>
      <c r="B60" s="178" t="s">
        <v>500</v>
      </c>
      <c r="C60" s="183" t="s">
        <v>56</v>
      </c>
      <c r="D60" s="192">
        <v>1000000000</v>
      </c>
      <c r="E60" s="192">
        <f>'Realisasi Januari'!G60</f>
        <v>26600000</v>
      </c>
      <c r="F60" s="192">
        <v>6400000</v>
      </c>
      <c r="G60" s="192">
        <f>E60+F60</f>
        <v>33000000</v>
      </c>
      <c r="H60" s="24">
        <f t="shared" si="32"/>
        <v>3.3000000000000002E-2</v>
      </c>
      <c r="I60" s="207" t="s">
        <v>57</v>
      </c>
      <c r="J60" s="175"/>
    </row>
    <row r="61" spans="1:11" s="176" customFormat="1" x14ac:dyDescent="0.25">
      <c r="A61" s="188"/>
      <c r="B61" s="170" t="s">
        <v>291</v>
      </c>
      <c r="C61" s="185" t="s">
        <v>292</v>
      </c>
      <c r="D61" s="191">
        <f>D62</f>
        <v>829475000</v>
      </c>
      <c r="E61" s="191">
        <f t="shared" ref="E61:F61" si="37">E62</f>
        <v>6110800</v>
      </c>
      <c r="F61" s="191">
        <f t="shared" si="37"/>
        <v>8698750</v>
      </c>
      <c r="G61" s="191">
        <f t="shared" ref="G61" si="38">G62</f>
        <v>14809550</v>
      </c>
      <c r="H61" s="236">
        <f t="shared" si="32"/>
        <v>1.7854124596883569E-2</v>
      </c>
      <c r="I61" s="207"/>
      <c r="J61" s="175"/>
    </row>
    <row r="62" spans="1:11" s="187" customFormat="1" ht="22.5" customHeight="1" x14ac:dyDescent="0.25">
      <c r="A62" s="169"/>
      <c r="B62" s="178" t="s">
        <v>501</v>
      </c>
      <c r="C62" s="183" t="s">
        <v>292</v>
      </c>
      <c r="D62" s="192">
        <v>829475000</v>
      </c>
      <c r="E62" s="192">
        <f>'Realisasi Januari'!G62</f>
        <v>6110800</v>
      </c>
      <c r="F62" s="192">
        <v>8698750</v>
      </c>
      <c r="G62" s="192">
        <f>E62+F62</f>
        <v>14809550</v>
      </c>
      <c r="H62" s="24">
        <f t="shared" si="32"/>
        <v>1.7854124596883569E-2</v>
      </c>
      <c r="I62" s="207" t="s">
        <v>58</v>
      </c>
      <c r="J62" s="186"/>
    </row>
    <row r="63" spans="1:11" s="176" customFormat="1" x14ac:dyDescent="0.25">
      <c r="A63" s="169" t="s">
        <v>414</v>
      </c>
      <c r="B63" s="170" t="s">
        <v>285</v>
      </c>
      <c r="C63" s="185" t="s">
        <v>444</v>
      </c>
      <c r="D63" s="191">
        <f>D64+D66+D68</f>
        <v>28168525000</v>
      </c>
      <c r="E63" s="191">
        <f t="shared" ref="E63:G63" si="39">E64+E66+E68</f>
        <v>1691091750</v>
      </c>
      <c r="F63" s="191">
        <f t="shared" si="39"/>
        <v>1731621300</v>
      </c>
      <c r="G63" s="191">
        <f t="shared" si="39"/>
        <v>3422713050</v>
      </c>
      <c r="H63" s="236">
        <f t="shared" si="32"/>
        <v>0.12150842296499373</v>
      </c>
      <c r="I63" s="207" t="s">
        <v>59</v>
      </c>
      <c r="J63" s="175"/>
    </row>
    <row r="64" spans="1:11" s="176" customFormat="1" x14ac:dyDescent="0.25">
      <c r="A64" s="169"/>
      <c r="B64" s="170" t="s">
        <v>293</v>
      </c>
      <c r="C64" s="185" t="s">
        <v>502</v>
      </c>
      <c r="D64" s="191">
        <f>D65</f>
        <v>74722500</v>
      </c>
      <c r="E64" s="191">
        <f t="shared" ref="E64:G64" si="40">E65</f>
        <v>8340000</v>
      </c>
      <c r="F64" s="191">
        <f t="shared" si="40"/>
        <v>13986000</v>
      </c>
      <c r="G64" s="191">
        <f t="shared" si="40"/>
        <v>22326000</v>
      </c>
      <c r="H64" s="236">
        <f t="shared" si="32"/>
        <v>0.29878550637358225</v>
      </c>
      <c r="I64" s="207"/>
      <c r="J64" s="175"/>
    </row>
    <row r="65" spans="1:10" s="176" customFormat="1" x14ac:dyDescent="0.25">
      <c r="A65" s="188"/>
      <c r="B65" s="178" t="s">
        <v>503</v>
      </c>
      <c r="C65" s="183" t="s">
        <v>504</v>
      </c>
      <c r="D65" s="192">
        <v>74722500</v>
      </c>
      <c r="E65" s="192">
        <f>'Realisasi Januari'!G65</f>
        <v>8340000</v>
      </c>
      <c r="F65" s="192">
        <v>13986000</v>
      </c>
      <c r="G65" s="192">
        <f>E65+F65</f>
        <v>22326000</v>
      </c>
      <c r="H65" s="24">
        <f t="shared" si="32"/>
        <v>0.29878550637358225</v>
      </c>
      <c r="I65" s="207"/>
      <c r="J65" s="175"/>
    </row>
    <row r="66" spans="1:10" s="176" customFormat="1" x14ac:dyDescent="0.25">
      <c r="A66" s="169"/>
      <c r="B66" s="170" t="s">
        <v>294</v>
      </c>
      <c r="C66" s="185" t="s">
        <v>295</v>
      </c>
      <c r="D66" s="191">
        <f>D67</f>
        <v>27808802500</v>
      </c>
      <c r="E66" s="191">
        <f t="shared" ref="E66:G66" si="41">E67</f>
        <v>1679141000</v>
      </c>
      <c r="F66" s="191">
        <f t="shared" si="41"/>
        <v>1710731000</v>
      </c>
      <c r="G66" s="191">
        <f t="shared" si="41"/>
        <v>3389872000</v>
      </c>
      <c r="H66" s="236">
        <f t="shared" si="32"/>
        <v>0.12189924395342086</v>
      </c>
      <c r="I66" s="218"/>
      <c r="J66" s="175"/>
    </row>
    <row r="67" spans="1:10" s="176" customFormat="1" x14ac:dyDescent="0.25">
      <c r="A67" s="188"/>
      <c r="B67" s="178" t="s">
        <v>505</v>
      </c>
      <c r="C67" s="183" t="s">
        <v>295</v>
      </c>
      <c r="D67" s="192">
        <v>27808802500</v>
      </c>
      <c r="E67" s="192">
        <f>'Realisasi Januari'!G67</f>
        <v>1679141000</v>
      </c>
      <c r="F67" s="192">
        <v>1710731000</v>
      </c>
      <c r="G67" s="192">
        <f>E67+F67</f>
        <v>3389872000</v>
      </c>
      <c r="H67" s="24">
        <f t="shared" si="32"/>
        <v>0.12189924395342086</v>
      </c>
      <c r="I67" s="218"/>
      <c r="J67" s="175"/>
    </row>
    <row r="68" spans="1:10" s="176" customFormat="1" x14ac:dyDescent="0.25">
      <c r="A68" s="188"/>
      <c r="B68" s="170" t="s">
        <v>296</v>
      </c>
      <c r="C68" s="185" t="s">
        <v>297</v>
      </c>
      <c r="D68" s="191">
        <f>SUM(D69)</f>
        <v>285000000</v>
      </c>
      <c r="E68" s="191">
        <f t="shared" ref="E68:F68" si="42">SUM(E69)</f>
        <v>3610750</v>
      </c>
      <c r="F68" s="191">
        <f t="shared" si="42"/>
        <v>6904300</v>
      </c>
      <c r="G68" s="191">
        <f t="shared" ref="G68" si="43">SUM(G69)</f>
        <v>10515050</v>
      </c>
      <c r="H68" s="24">
        <f t="shared" si="32"/>
        <v>3.6894912280701755E-2</v>
      </c>
      <c r="I68" s="218"/>
      <c r="J68" s="175"/>
    </row>
    <row r="69" spans="1:10" s="176" customFormat="1" x14ac:dyDescent="0.25">
      <c r="A69" s="188"/>
      <c r="B69" s="178" t="s">
        <v>506</v>
      </c>
      <c r="C69" s="183" t="s">
        <v>297</v>
      </c>
      <c r="D69" s="192">
        <v>285000000</v>
      </c>
      <c r="E69" s="192">
        <f>'Realisasi Januari'!G69</f>
        <v>3610750</v>
      </c>
      <c r="F69" s="192">
        <v>6904300</v>
      </c>
      <c r="G69" s="192">
        <f>E69+F69</f>
        <v>10515050</v>
      </c>
      <c r="H69" s="24">
        <f t="shared" si="32"/>
        <v>3.6894912280701755E-2</v>
      </c>
      <c r="I69" s="218"/>
      <c r="J69" s="175"/>
    </row>
    <row r="70" spans="1:10" s="176" customFormat="1" x14ac:dyDescent="0.25">
      <c r="A70" s="169" t="s">
        <v>415</v>
      </c>
      <c r="B70" s="170" t="s">
        <v>298</v>
      </c>
      <c r="C70" s="185" t="s">
        <v>60</v>
      </c>
      <c r="D70" s="191">
        <f>SUM(D71)</f>
        <v>2000000</v>
      </c>
      <c r="E70" s="191"/>
      <c r="F70" s="191">
        <f t="shared" ref="F70:G70" si="44">SUM(F71)</f>
        <v>0</v>
      </c>
      <c r="G70" s="191">
        <f t="shared" si="44"/>
        <v>0</v>
      </c>
      <c r="H70" s="236">
        <f t="shared" si="32"/>
        <v>0</v>
      </c>
      <c r="I70" s="207" t="s">
        <v>61</v>
      </c>
      <c r="J70" s="175"/>
    </row>
    <row r="71" spans="1:10" s="187" customFormat="1" x14ac:dyDescent="0.25">
      <c r="A71" s="169"/>
      <c r="B71" s="170" t="s">
        <v>299</v>
      </c>
      <c r="C71" s="185" t="s">
        <v>300</v>
      </c>
      <c r="D71" s="191">
        <f>D72</f>
        <v>2000000</v>
      </c>
      <c r="E71" s="191"/>
      <c r="F71" s="191">
        <f t="shared" ref="F71:G71" si="45">F72</f>
        <v>0</v>
      </c>
      <c r="G71" s="191">
        <f t="shared" si="45"/>
        <v>0</v>
      </c>
      <c r="H71" s="236">
        <f t="shared" si="32"/>
        <v>0</v>
      </c>
      <c r="I71" s="263"/>
      <c r="J71" s="186"/>
    </row>
    <row r="72" spans="1:10" s="176" customFormat="1" x14ac:dyDescent="0.25">
      <c r="A72" s="188"/>
      <c r="B72" s="178" t="s">
        <v>507</v>
      </c>
      <c r="C72" s="183" t="s">
        <v>300</v>
      </c>
      <c r="D72" s="192">
        <v>2000000</v>
      </c>
      <c r="E72" s="192">
        <f>'Realisasi Januari'!G72</f>
        <v>0</v>
      </c>
      <c r="F72" s="192">
        <v>0</v>
      </c>
      <c r="G72" s="192">
        <f>E72+F72</f>
        <v>0</v>
      </c>
      <c r="H72" s="24">
        <f t="shared" si="32"/>
        <v>0</v>
      </c>
      <c r="I72" s="219"/>
      <c r="J72" s="175"/>
    </row>
    <row r="73" spans="1:10" s="176" customFormat="1" x14ac:dyDescent="0.25">
      <c r="A73" s="188"/>
      <c r="B73" s="178"/>
      <c r="C73" s="183"/>
      <c r="D73" s="192"/>
      <c r="E73" s="192"/>
      <c r="F73" s="192"/>
      <c r="G73" s="191"/>
      <c r="H73" s="236"/>
      <c r="I73" s="220"/>
      <c r="J73" s="175"/>
    </row>
    <row r="74" spans="1:10" s="176" customFormat="1" x14ac:dyDescent="0.25">
      <c r="A74" s="168" t="s">
        <v>62</v>
      </c>
      <c r="B74" s="22" t="s">
        <v>301</v>
      </c>
      <c r="C74" s="185" t="s">
        <v>63</v>
      </c>
      <c r="D74" s="191">
        <f t="shared" ref="D74:G76" si="46">D75</f>
        <v>25000000</v>
      </c>
      <c r="E74" s="191">
        <f t="shared" si="46"/>
        <v>2800000</v>
      </c>
      <c r="F74" s="191">
        <f t="shared" si="46"/>
        <v>2525000</v>
      </c>
      <c r="G74" s="191">
        <f t="shared" si="46"/>
        <v>5325000</v>
      </c>
      <c r="H74" s="236">
        <f>G74/D74</f>
        <v>0.21299999999999999</v>
      </c>
      <c r="I74" s="209"/>
      <c r="J74" s="175"/>
    </row>
    <row r="75" spans="1:10" s="187" customFormat="1" x14ac:dyDescent="0.25">
      <c r="A75" s="169"/>
      <c r="B75" s="170" t="s">
        <v>285</v>
      </c>
      <c r="C75" s="185" t="s">
        <v>444</v>
      </c>
      <c r="D75" s="191">
        <f t="shared" si="46"/>
        <v>25000000</v>
      </c>
      <c r="E75" s="191">
        <f t="shared" si="46"/>
        <v>2800000</v>
      </c>
      <c r="F75" s="191">
        <f t="shared" si="46"/>
        <v>2525000</v>
      </c>
      <c r="G75" s="191">
        <f t="shared" si="46"/>
        <v>5325000</v>
      </c>
      <c r="H75" s="236">
        <f>G75/D75</f>
        <v>0.21299999999999999</v>
      </c>
      <c r="I75" s="216"/>
      <c r="J75" s="186"/>
    </row>
    <row r="76" spans="1:10" s="187" customFormat="1" x14ac:dyDescent="0.25">
      <c r="A76" s="169"/>
      <c r="B76" s="170" t="s">
        <v>302</v>
      </c>
      <c r="C76" s="185" t="s">
        <v>64</v>
      </c>
      <c r="D76" s="191">
        <f>D77</f>
        <v>25000000</v>
      </c>
      <c r="E76" s="191">
        <f t="shared" si="46"/>
        <v>2800000</v>
      </c>
      <c r="F76" s="191">
        <f t="shared" si="46"/>
        <v>2525000</v>
      </c>
      <c r="G76" s="191">
        <f t="shared" si="46"/>
        <v>5325000</v>
      </c>
      <c r="H76" s="236">
        <f>G76/D76</f>
        <v>0.21299999999999999</v>
      </c>
      <c r="I76" s="216"/>
      <c r="J76" s="186"/>
    </row>
    <row r="77" spans="1:10" s="176" customFormat="1" x14ac:dyDescent="0.25">
      <c r="A77" s="27"/>
      <c r="B77" s="178" t="s">
        <v>508</v>
      </c>
      <c r="C77" s="28" t="s">
        <v>509</v>
      </c>
      <c r="D77" s="192">
        <v>25000000</v>
      </c>
      <c r="E77" s="192">
        <f>'Realisasi Januari'!G77</f>
        <v>2800000</v>
      </c>
      <c r="F77" s="192">
        <v>2525000</v>
      </c>
      <c r="G77" s="192">
        <f>E77+F77</f>
        <v>5325000</v>
      </c>
      <c r="H77" s="24">
        <f>G77/D77</f>
        <v>0.21299999999999999</v>
      </c>
      <c r="I77" s="207" t="s">
        <v>65</v>
      </c>
      <c r="J77" s="175"/>
    </row>
    <row r="78" spans="1:10" s="176" customFormat="1" x14ac:dyDescent="0.25">
      <c r="A78" s="27"/>
      <c r="B78" s="178"/>
      <c r="C78" s="171"/>
      <c r="D78" s="192"/>
      <c r="E78" s="192"/>
      <c r="F78" s="192"/>
      <c r="G78" s="191"/>
      <c r="H78" s="236"/>
      <c r="I78" s="207"/>
      <c r="J78" s="175"/>
    </row>
    <row r="79" spans="1:10" s="176" customFormat="1" x14ac:dyDescent="0.25">
      <c r="A79" s="168" t="s">
        <v>66</v>
      </c>
      <c r="B79" s="22" t="s">
        <v>303</v>
      </c>
      <c r="C79" s="185" t="s">
        <v>67</v>
      </c>
      <c r="D79" s="196">
        <f>SUM(D80)</f>
        <v>15000000000</v>
      </c>
      <c r="E79" s="196"/>
      <c r="F79" s="196">
        <f t="shared" ref="F79:G79" si="47">SUM(F80)</f>
        <v>0</v>
      </c>
      <c r="G79" s="196">
        <f t="shared" si="47"/>
        <v>0</v>
      </c>
      <c r="H79" s="236">
        <f t="shared" ref="H79:H84" si="48">G79/D79</f>
        <v>0</v>
      </c>
      <c r="I79" s="209"/>
      <c r="J79" s="175"/>
    </row>
    <row r="80" spans="1:10" s="176" customFormat="1" x14ac:dyDescent="0.25">
      <c r="A80" s="27"/>
      <c r="B80" s="170" t="s">
        <v>298</v>
      </c>
      <c r="C80" s="185" t="s">
        <v>60</v>
      </c>
      <c r="D80" s="191">
        <f>D81+D83</f>
        <v>15000000000</v>
      </c>
      <c r="E80" s="191"/>
      <c r="F80" s="191">
        <f t="shared" ref="F80:G80" si="49">F81+F83</f>
        <v>0</v>
      </c>
      <c r="G80" s="191">
        <f t="shared" si="49"/>
        <v>0</v>
      </c>
      <c r="H80" s="236">
        <f t="shared" si="48"/>
        <v>0</v>
      </c>
      <c r="I80" s="207"/>
      <c r="J80" s="175"/>
    </row>
    <row r="81" spans="1:10" s="187" customFormat="1" x14ac:dyDescent="0.25">
      <c r="A81" s="264"/>
      <c r="B81" s="170" t="s">
        <v>304</v>
      </c>
      <c r="C81" s="185" t="s">
        <v>68</v>
      </c>
      <c r="D81" s="191">
        <f>D82</f>
        <v>14990050000</v>
      </c>
      <c r="E81" s="191"/>
      <c r="F81" s="191">
        <f t="shared" ref="F81:G81" si="50">F82</f>
        <v>0</v>
      </c>
      <c r="G81" s="191">
        <f t="shared" si="50"/>
        <v>0</v>
      </c>
      <c r="H81" s="236">
        <f t="shared" si="48"/>
        <v>0</v>
      </c>
      <c r="I81" s="216" t="s">
        <v>69</v>
      </c>
      <c r="J81" s="186"/>
    </row>
    <row r="82" spans="1:10" s="176" customFormat="1" x14ac:dyDescent="0.25">
      <c r="A82" s="27"/>
      <c r="B82" s="178" t="s">
        <v>510</v>
      </c>
      <c r="C82" s="183" t="s">
        <v>68</v>
      </c>
      <c r="D82" s="192">
        <v>14990050000</v>
      </c>
      <c r="E82" s="192">
        <f>'Realisasi Januari'!G82</f>
        <v>0</v>
      </c>
      <c r="F82" s="192"/>
      <c r="G82" s="192">
        <f>E82+F82</f>
        <v>0</v>
      </c>
      <c r="H82" s="24">
        <f t="shared" si="48"/>
        <v>0</v>
      </c>
      <c r="I82" s="207" t="s">
        <v>69</v>
      </c>
      <c r="J82" s="175"/>
    </row>
    <row r="83" spans="1:10" s="187" customFormat="1" x14ac:dyDescent="0.25">
      <c r="A83" s="264"/>
      <c r="B83" s="170" t="s">
        <v>305</v>
      </c>
      <c r="C83" s="185" t="s">
        <v>70</v>
      </c>
      <c r="D83" s="191">
        <f>D84</f>
        <v>9950000</v>
      </c>
      <c r="E83" s="191"/>
      <c r="F83" s="191">
        <f t="shared" ref="F83:G83" si="51">F84</f>
        <v>0</v>
      </c>
      <c r="G83" s="191">
        <f t="shared" si="51"/>
        <v>0</v>
      </c>
      <c r="H83" s="236">
        <f t="shared" si="48"/>
        <v>0</v>
      </c>
      <c r="I83" s="216" t="s">
        <v>71</v>
      </c>
      <c r="J83" s="186"/>
    </row>
    <row r="84" spans="1:10" s="176" customFormat="1" x14ac:dyDescent="0.25">
      <c r="A84" s="27"/>
      <c r="B84" s="178" t="s">
        <v>511</v>
      </c>
      <c r="C84" s="183" t="s">
        <v>70</v>
      </c>
      <c r="D84" s="192">
        <v>9950000</v>
      </c>
      <c r="E84" s="192">
        <f>'Realisasi Januari'!G84</f>
        <v>0</v>
      </c>
      <c r="F84" s="192"/>
      <c r="G84" s="192">
        <f>E84+F84</f>
        <v>0</v>
      </c>
      <c r="H84" s="24">
        <f t="shared" si="48"/>
        <v>0</v>
      </c>
      <c r="I84" s="207" t="s">
        <v>71</v>
      </c>
      <c r="J84" s="175"/>
    </row>
    <row r="85" spans="1:10" s="176" customFormat="1" x14ac:dyDescent="0.25">
      <c r="A85" s="27"/>
      <c r="B85" s="178"/>
      <c r="C85" s="183"/>
      <c r="D85" s="192"/>
      <c r="E85" s="192"/>
      <c r="F85" s="192"/>
      <c r="G85" s="191"/>
      <c r="H85" s="236"/>
      <c r="I85" s="207"/>
      <c r="J85" s="175"/>
    </row>
    <row r="86" spans="1:10" s="176" customFormat="1" ht="24" customHeight="1" x14ac:dyDescent="0.25">
      <c r="A86" s="29" t="s">
        <v>73</v>
      </c>
      <c r="B86" s="22" t="s">
        <v>307</v>
      </c>
      <c r="C86" s="185" t="s">
        <v>82</v>
      </c>
      <c r="D86" s="196">
        <f>D87</f>
        <v>25440000</v>
      </c>
      <c r="E86" s="196"/>
      <c r="F86" s="196">
        <f t="shared" ref="F86:G86" si="52">F87</f>
        <v>2740000</v>
      </c>
      <c r="G86" s="196">
        <f t="shared" si="52"/>
        <v>2740000</v>
      </c>
      <c r="H86" s="236">
        <f>G86/D86</f>
        <v>0.10770440251572327</v>
      </c>
      <c r="I86" s="209"/>
      <c r="J86" s="175"/>
    </row>
    <row r="87" spans="1:10" s="187" customFormat="1" x14ac:dyDescent="0.25">
      <c r="A87" s="169"/>
      <c r="B87" s="170" t="s">
        <v>285</v>
      </c>
      <c r="C87" s="185" t="s">
        <v>444</v>
      </c>
      <c r="D87" s="191">
        <f>D89</f>
        <v>25440000</v>
      </c>
      <c r="E87" s="191"/>
      <c r="F87" s="191">
        <f>F89</f>
        <v>2740000</v>
      </c>
      <c r="G87" s="191">
        <f>G89</f>
        <v>2740000</v>
      </c>
      <c r="H87" s="236">
        <f>G87/D87</f>
        <v>0.10770440251572327</v>
      </c>
      <c r="I87" s="207" t="s">
        <v>83</v>
      </c>
      <c r="J87" s="186"/>
    </row>
    <row r="88" spans="1:10" s="187" customFormat="1" x14ac:dyDescent="0.25">
      <c r="A88" s="169"/>
      <c r="B88" s="170" t="s">
        <v>308</v>
      </c>
      <c r="C88" s="172" t="s">
        <v>309</v>
      </c>
      <c r="D88" s="191">
        <f>D89</f>
        <v>25440000</v>
      </c>
      <c r="E88" s="191"/>
      <c r="F88" s="191">
        <f t="shared" ref="F88:G88" si="53">F89</f>
        <v>2740000</v>
      </c>
      <c r="G88" s="191">
        <f t="shared" si="53"/>
        <v>2740000</v>
      </c>
      <c r="H88" s="236">
        <f>G88/D88</f>
        <v>0.10770440251572327</v>
      </c>
      <c r="I88" s="216"/>
      <c r="J88" s="186"/>
    </row>
    <row r="89" spans="1:10" s="176" customFormat="1" x14ac:dyDescent="0.25">
      <c r="A89" s="188"/>
      <c r="B89" s="178" t="s">
        <v>512</v>
      </c>
      <c r="C89" s="171" t="s">
        <v>309</v>
      </c>
      <c r="D89" s="192">
        <v>25440000</v>
      </c>
      <c r="E89" s="192"/>
      <c r="F89" s="192">
        <v>2740000</v>
      </c>
      <c r="G89" s="192">
        <f>E89+F89</f>
        <v>2740000</v>
      </c>
      <c r="H89" s="24">
        <f>G89/D89</f>
        <v>0.10770440251572327</v>
      </c>
      <c r="I89" s="207"/>
      <c r="J89" s="175"/>
    </row>
    <row r="90" spans="1:10" s="176" customFormat="1" x14ac:dyDescent="0.25">
      <c r="A90" s="169"/>
      <c r="B90" s="22"/>
      <c r="C90" s="25"/>
      <c r="D90" s="192"/>
      <c r="E90" s="192"/>
      <c r="F90" s="192"/>
      <c r="G90" s="191"/>
      <c r="H90" s="236"/>
      <c r="I90" s="221"/>
      <c r="J90" s="175"/>
    </row>
    <row r="91" spans="1:10" s="176" customFormat="1" ht="24.75" customHeight="1" x14ac:dyDescent="0.25">
      <c r="A91" s="29" t="s">
        <v>74</v>
      </c>
      <c r="B91" s="22" t="s">
        <v>310</v>
      </c>
      <c r="C91" s="185" t="s">
        <v>84</v>
      </c>
      <c r="D91" s="196">
        <f>D92</f>
        <v>1000000000</v>
      </c>
      <c r="E91" s="196"/>
      <c r="F91" s="196">
        <f t="shared" ref="F91:G93" si="54">F92</f>
        <v>0</v>
      </c>
      <c r="G91" s="196">
        <f t="shared" si="54"/>
        <v>0</v>
      </c>
      <c r="H91" s="236">
        <f>G91/D91</f>
        <v>0</v>
      </c>
      <c r="I91" s="207"/>
      <c r="J91" s="175"/>
    </row>
    <row r="92" spans="1:10" s="187" customFormat="1" x14ac:dyDescent="0.25">
      <c r="A92" s="169"/>
      <c r="B92" s="170" t="s">
        <v>288</v>
      </c>
      <c r="C92" s="185" t="s">
        <v>55</v>
      </c>
      <c r="D92" s="191">
        <f>D93</f>
        <v>1000000000</v>
      </c>
      <c r="E92" s="191"/>
      <c r="F92" s="191">
        <f t="shared" si="54"/>
        <v>0</v>
      </c>
      <c r="G92" s="191">
        <f t="shared" si="54"/>
        <v>0</v>
      </c>
      <c r="H92" s="236">
        <f>G92/D92</f>
        <v>0</v>
      </c>
      <c r="I92" s="216" t="s">
        <v>85</v>
      </c>
      <c r="J92" s="186"/>
    </row>
    <row r="93" spans="1:10" s="187" customFormat="1" x14ac:dyDescent="0.25">
      <c r="A93" s="169"/>
      <c r="B93" s="170" t="s">
        <v>311</v>
      </c>
      <c r="C93" s="185" t="s">
        <v>312</v>
      </c>
      <c r="D93" s="191">
        <f>D94</f>
        <v>1000000000</v>
      </c>
      <c r="E93" s="191"/>
      <c r="F93" s="191">
        <f t="shared" si="54"/>
        <v>0</v>
      </c>
      <c r="G93" s="191">
        <f t="shared" si="54"/>
        <v>0</v>
      </c>
      <c r="H93" s="236">
        <f>G93/D93</f>
        <v>0</v>
      </c>
      <c r="I93" s="216"/>
      <c r="J93" s="186"/>
    </row>
    <row r="94" spans="1:10" s="176" customFormat="1" x14ac:dyDescent="0.25">
      <c r="A94" s="188"/>
      <c r="B94" s="178" t="s">
        <v>513</v>
      </c>
      <c r="C94" s="183" t="s">
        <v>312</v>
      </c>
      <c r="D94" s="192">
        <v>1000000000</v>
      </c>
      <c r="E94" s="192">
        <f>'Realisasi Januari'!G94</f>
        <v>0</v>
      </c>
      <c r="F94" s="192"/>
      <c r="G94" s="192">
        <f>E94+F94</f>
        <v>0</v>
      </c>
      <c r="H94" s="24">
        <f>G94/D94</f>
        <v>0</v>
      </c>
      <c r="I94" s="207"/>
      <c r="J94" s="175"/>
    </row>
    <row r="95" spans="1:10" s="176" customFormat="1" x14ac:dyDescent="0.25">
      <c r="A95" s="188"/>
      <c r="B95" s="178"/>
      <c r="C95" s="183"/>
      <c r="D95" s="192"/>
      <c r="E95" s="192"/>
      <c r="F95" s="192"/>
      <c r="G95" s="191"/>
      <c r="H95" s="236"/>
      <c r="I95" s="207"/>
      <c r="J95" s="175"/>
    </row>
    <row r="96" spans="1:10" s="176" customFormat="1" ht="41.25" customHeight="1" x14ac:dyDescent="0.25">
      <c r="A96" s="168" t="s">
        <v>86</v>
      </c>
      <c r="B96" s="189" t="s">
        <v>313</v>
      </c>
      <c r="C96" s="30" t="s">
        <v>87</v>
      </c>
      <c r="D96" s="196">
        <f>SUM(D97)</f>
        <v>1663748324</v>
      </c>
      <c r="E96" s="196"/>
      <c r="F96" s="196">
        <f t="shared" ref="F96:G96" si="55">SUM(F97)</f>
        <v>0</v>
      </c>
      <c r="G96" s="196">
        <f t="shared" si="55"/>
        <v>0</v>
      </c>
      <c r="H96" s="236">
        <f>G96/D96</f>
        <v>0</v>
      </c>
      <c r="I96" s="209"/>
      <c r="J96" s="175"/>
    </row>
    <row r="97" spans="1:11" s="176" customFormat="1" ht="30" x14ac:dyDescent="0.25">
      <c r="A97" s="188"/>
      <c r="B97" s="189" t="s">
        <v>314</v>
      </c>
      <c r="C97" s="30" t="s">
        <v>88</v>
      </c>
      <c r="D97" s="191">
        <f>SUM(D98:D100)</f>
        <v>1663748324</v>
      </c>
      <c r="E97" s="191"/>
      <c r="F97" s="191">
        <f t="shared" ref="F97:G97" si="56">SUM(F98:F100)</f>
        <v>0</v>
      </c>
      <c r="G97" s="191">
        <f t="shared" si="56"/>
        <v>0</v>
      </c>
      <c r="H97" s="236">
        <f>G97/D97</f>
        <v>0</v>
      </c>
      <c r="I97" s="209"/>
      <c r="J97" s="175"/>
    </row>
    <row r="98" spans="1:11" s="176" customFormat="1" x14ac:dyDescent="0.25">
      <c r="A98" s="184" t="s">
        <v>89</v>
      </c>
      <c r="B98" s="190" t="s">
        <v>314</v>
      </c>
      <c r="C98" s="183" t="s">
        <v>90</v>
      </c>
      <c r="D98" s="192">
        <v>895097348</v>
      </c>
      <c r="E98" s="192"/>
      <c r="F98" s="192"/>
      <c r="G98" s="192">
        <f>E98+F98</f>
        <v>0</v>
      </c>
      <c r="H98" s="24">
        <f>G98/D98</f>
        <v>0</v>
      </c>
      <c r="I98" s="207"/>
      <c r="J98" s="175"/>
    </row>
    <row r="99" spans="1:11" s="176" customFormat="1" x14ac:dyDescent="0.25">
      <c r="A99" s="184" t="s">
        <v>91</v>
      </c>
      <c r="B99" s="190" t="s">
        <v>314</v>
      </c>
      <c r="C99" s="183" t="s">
        <v>92</v>
      </c>
      <c r="D99" s="192">
        <v>455948308</v>
      </c>
      <c r="E99" s="192"/>
      <c r="F99" s="192"/>
      <c r="G99" s="192">
        <f t="shared" ref="G99:G100" si="57">E99+F99</f>
        <v>0</v>
      </c>
      <c r="H99" s="24">
        <f>G99/D99</f>
        <v>0</v>
      </c>
      <c r="I99" s="207" t="s">
        <v>93</v>
      </c>
      <c r="J99" s="175"/>
    </row>
    <row r="100" spans="1:11" s="176" customFormat="1" x14ac:dyDescent="0.25">
      <c r="A100" s="184" t="s">
        <v>72</v>
      </c>
      <c r="B100" s="190" t="s">
        <v>314</v>
      </c>
      <c r="C100" s="183" t="s">
        <v>94</v>
      </c>
      <c r="D100" s="192">
        <v>312702668</v>
      </c>
      <c r="E100" s="192"/>
      <c r="F100" s="192"/>
      <c r="G100" s="192">
        <f t="shared" si="57"/>
        <v>0</v>
      </c>
      <c r="H100" s="24">
        <f>G100/D100</f>
        <v>0</v>
      </c>
      <c r="I100" s="207"/>
      <c r="J100" s="175"/>
    </row>
    <row r="101" spans="1:11" s="176" customFormat="1" x14ac:dyDescent="0.25">
      <c r="A101" s="188"/>
      <c r="B101" s="178"/>
      <c r="C101" s="183"/>
      <c r="D101" s="192"/>
      <c r="E101" s="192"/>
      <c r="F101" s="192"/>
      <c r="G101" s="191"/>
      <c r="H101" s="236"/>
      <c r="I101" s="207"/>
      <c r="J101" s="175"/>
    </row>
    <row r="102" spans="1:11" s="176" customFormat="1" ht="21" customHeight="1" x14ac:dyDescent="0.25">
      <c r="A102" s="169" t="s">
        <v>95</v>
      </c>
      <c r="B102" s="189" t="s">
        <v>315</v>
      </c>
      <c r="C102" s="185" t="s">
        <v>96</v>
      </c>
      <c r="D102" s="191">
        <f>SUM(D104+D115+D119+D123+D135+D137+D150+D152+D159+D199+D213+D219+D109+D112+D131)</f>
        <v>146329185066</v>
      </c>
      <c r="E102" s="191">
        <f>SUM(E104+E115+E119+E123+E135+E137+E150+E152+E159+E199+E213+E219+E109+E112+E131)</f>
        <v>8278313946.3499994</v>
      </c>
      <c r="F102" s="191">
        <f>SUM(F104+F115+F119+F123+F135+F137+F150+F152+F159+F199+F213+F219+F109+F112+F131)</f>
        <v>3899452516.6700001</v>
      </c>
      <c r="G102" s="191">
        <f>SUM(G104+G115+G119+G123+G135+G137+G150+G152+G159+G199+G213+G219+G109+G112+G131)</f>
        <v>12177766463.02</v>
      </c>
      <c r="H102" s="236">
        <f>G102/D102</f>
        <v>8.3221719970130129E-2</v>
      </c>
      <c r="I102" s="209"/>
      <c r="J102" s="175"/>
      <c r="K102" s="270"/>
    </row>
    <row r="103" spans="1:11" s="176" customFormat="1" x14ac:dyDescent="0.25">
      <c r="A103" s="169"/>
      <c r="B103" s="31"/>
      <c r="C103" s="32"/>
      <c r="D103" s="192"/>
      <c r="E103" s="192"/>
      <c r="F103" s="192"/>
      <c r="G103" s="191"/>
      <c r="H103" s="236"/>
      <c r="I103" s="209"/>
      <c r="J103" s="175"/>
    </row>
    <row r="104" spans="1:11" s="176" customFormat="1" x14ac:dyDescent="0.25">
      <c r="A104" s="168" t="s">
        <v>19</v>
      </c>
      <c r="B104" s="189" t="s">
        <v>587</v>
      </c>
      <c r="C104" s="180" t="s">
        <v>589</v>
      </c>
      <c r="D104" s="191">
        <f>D106</f>
        <v>3029424600</v>
      </c>
      <c r="E104" s="191"/>
      <c r="F104" s="191">
        <f t="shared" ref="F104:G104" si="58">F106</f>
        <v>0</v>
      </c>
      <c r="G104" s="191">
        <f t="shared" si="58"/>
        <v>0</v>
      </c>
      <c r="H104" s="236">
        <f>G104/D104</f>
        <v>0</v>
      </c>
      <c r="I104" s="209"/>
      <c r="J104" s="175"/>
    </row>
    <row r="105" spans="1:11" s="176" customFormat="1" x14ac:dyDescent="0.25">
      <c r="A105" s="168"/>
      <c r="B105" s="189" t="s">
        <v>588</v>
      </c>
      <c r="C105" s="180" t="s">
        <v>589</v>
      </c>
      <c r="D105" s="191"/>
      <c r="E105" s="191"/>
      <c r="F105" s="192"/>
      <c r="G105" s="191"/>
      <c r="H105" s="236"/>
      <c r="I105" s="209"/>
      <c r="J105" s="175"/>
    </row>
    <row r="106" spans="1:11" s="176" customFormat="1" x14ac:dyDescent="0.25">
      <c r="A106" s="168"/>
      <c r="B106" s="189" t="s">
        <v>584</v>
      </c>
      <c r="C106" s="180" t="s">
        <v>585</v>
      </c>
      <c r="D106" s="191">
        <f>D107</f>
        <v>3029424600</v>
      </c>
      <c r="E106" s="191"/>
      <c r="F106" s="191">
        <f t="shared" ref="F106:G106" si="59">F107</f>
        <v>0</v>
      </c>
      <c r="G106" s="191">
        <f t="shared" si="59"/>
        <v>0</v>
      </c>
      <c r="H106" s="236">
        <f>G106/D106</f>
        <v>0</v>
      </c>
      <c r="I106" s="209"/>
      <c r="J106" s="175"/>
    </row>
    <row r="107" spans="1:11" s="176" customFormat="1" x14ac:dyDescent="0.25">
      <c r="A107" s="168"/>
      <c r="B107" s="190"/>
      <c r="C107" s="33" t="s">
        <v>586</v>
      </c>
      <c r="D107" s="192">
        <v>3029424600</v>
      </c>
      <c r="E107" s="192"/>
      <c r="F107" s="192"/>
      <c r="G107" s="192">
        <f>E107+F107</f>
        <v>0</v>
      </c>
      <c r="H107" s="24">
        <f>G107/D107</f>
        <v>0</v>
      </c>
      <c r="I107" s="209"/>
      <c r="J107" s="175"/>
    </row>
    <row r="108" spans="1:11" s="176" customFormat="1" x14ac:dyDescent="0.25">
      <c r="A108" s="169"/>
      <c r="B108" s="31"/>
      <c r="C108" s="32"/>
      <c r="D108" s="192"/>
      <c r="E108" s="192"/>
      <c r="F108" s="192"/>
      <c r="G108" s="191"/>
      <c r="H108" s="236"/>
      <c r="I108" s="209"/>
      <c r="J108" s="175"/>
    </row>
    <row r="109" spans="1:11" s="176" customFormat="1" x14ac:dyDescent="0.25">
      <c r="A109" s="168"/>
      <c r="B109" s="190" t="s">
        <v>590</v>
      </c>
      <c r="C109" s="172" t="s">
        <v>581</v>
      </c>
      <c r="D109" s="191">
        <f>SUM(D110)</f>
        <v>0</v>
      </c>
      <c r="E109" s="191"/>
      <c r="F109" s="191">
        <f t="shared" ref="F109:G109" si="60">SUM(F110)</f>
        <v>0</v>
      </c>
      <c r="G109" s="191">
        <f t="shared" si="60"/>
        <v>0</v>
      </c>
      <c r="H109" s="236"/>
      <c r="I109" s="207"/>
      <c r="J109" s="175"/>
    </row>
    <row r="110" spans="1:11" s="176" customFormat="1" x14ac:dyDescent="0.25">
      <c r="A110" s="168"/>
      <c r="B110" s="189"/>
      <c r="C110" s="193" t="s">
        <v>622</v>
      </c>
      <c r="D110" s="192">
        <v>0</v>
      </c>
      <c r="E110" s="192"/>
      <c r="F110" s="192">
        <v>0</v>
      </c>
      <c r="G110" s="192">
        <f>E110+F110</f>
        <v>0</v>
      </c>
      <c r="H110" s="236"/>
      <c r="I110" s="207"/>
      <c r="J110" s="175"/>
    </row>
    <row r="111" spans="1:11" s="176" customFormat="1" x14ac:dyDescent="0.25">
      <c r="A111" s="168"/>
      <c r="B111" s="189"/>
      <c r="C111" s="193"/>
      <c r="D111" s="192"/>
      <c r="E111" s="192"/>
      <c r="F111" s="192"/>
      <c r="G111" s="192"/>
      <c r="H111" s="236"/>
      <c r="I111" s="207"/>
      <c r="J111" s="175"/>
    </row>
    <row r="112" spans="1:11" s="176" customFormat="1" x14ac:dyDescent="0.25">
      <c r="A112" s="169"/>
      <c r="B112" s="190" t="s">
        <v>318</v>
      </c>
      <c r="C112" s="172" t="s">
        <v>319</v>
      </c>
      <c r="D112" s="191">
        <f>SUM(D113:D113)</f>
        <v>186000000</v>
      </c>
      <c r="E112" s="191">
        <f>SUM(E113:E113)</f>
        <v>115046000</v>
      </c>
      <c r="F112" s="191">
        <f>SUM(F113:F113)</f>
        <v>69000000</v>
      </c>
      <c r="G112" s="191">
        <f>SUM(G113:G113)</f>
        <v>184046000</v>
      </c>
      <c r="H112" s="236">
        <f>G112/D112</f>
        <v>0.98949462365591401</v>
      </c>
      <c r="I112" s="209"/>
      <c r="J112" s="175"/>
    </row>
    <row r="113" spans="1:10" s="176" customFormat="1" x14ac:dyDescent="0.25">
      <c r="A113" s="169"/>
      <c r="B113" s="190"/>
      <c r="C113" s="193" t="s">
        <v>670</v>
      </c>
      <c r="D113" s="192">
        <v>186000000</v>
      </c>
      <c r="E113" s="192">
        <f>'Realisasi Januari'!G113</f>
        <v>115046000</v>
      </c>
      <c r="F113" s="192">
        <v>69000000</v>
      </c>
      <c r="G113" s="192">
        <f t="shared" ref="G113" si="61">E113+F113</f>
        <v>184046000</v>
      </c>
      <c r="H113" s="24">
        <f t="shared" ref="H113" si="62">G113/D113</f>
        <v>0.98949462365591401</v>
      </c>
      <c r="I113" s="209"/>
      <c r="J113" s="175"/>
    </row>
    <row r="114" spans="1:10" s="176" customFormat="1" x14ac:dyDescent="0.25">
      <c r="A114" s="169"/>
      <c r="B114" s="190"/>
      <c r="C114" s="193"/>
      <c r="D114" s="192"/>
      <c r="E114" s="192"/>
      <c r="F114" s="192"/>
      <c r="G114" s="191"/>
      <c r="H114" s="236"/>
      <c r="I114" s="209"/>
      <c r="J114" s="175"/>
    </row>
    <row r="115" spans="1:10" s="176" customFormat="1" x14ac:dyDescent="0.25">
      <c r="A115" s="168" t="s">
        <v>46</v>
      </c>
      <c r="B115" s="189" t="s">
        <v>342</v>
      </c>
      <c r="C115" s="185" t="s">
        <v>343</v>
      </c>
      <c r="D115" s="191">
        <f>D116</f>
        <v>1000000000</v>
      </c>
      <c r="E115" s="191"/>
      <c r="F115" s="191">
        <f t="shared" ref="F115:G116" si="63">F116</f>
        <v>0</v>
      </c>
      <c r="G115" s="191">
        <f t="shared" si="63"/>
        <v>0</v>
      </c>
      <c r="H115" s="236">
        <f>G115/D115</f>
        <v>0</v>
      </c>
      <c r="I115" s="209"/>
      <c r="J115" s="175"/>
    </row>
    <row r="116" spans="1:10" s="187" customFormat="1" x14ac:dyDescent="0.25">
      <c r="A116" s="169"/>
      <c r="B116" s="189" t="s">
        <v>344</v>
      </c>
      <c r="C116" s="185" t="s">
        <v>349</v>
      </c>
      <c r="D116" s="191">
        <f>D117</f>
        <v>1000000000</v>
      </c>
      <c r="E116" s="191"/>
      <c r="F116" s="191">
        <f t="shared" si="63"/>
        <v>0</v>
      </c>
      <c r="G116" s="191">
        <f t="shared" si="63"/>
        <v>0</v>
      </c>
      <c r="H116" s="236">
        <f>G116/D116</f>
        <v>0</v>
      </c>
      <c r="I116" s="210"/>
      <c r="J116" s="186"/>
    </row>
    <row r="117" spans="1:10" s="176" customFormat="1" x14ac:dyDescent="0.25">
      <c r="A117" s="169"/>
      <c r="B117" s="190"/>
      <c r="C117" s="171" t="s">
        <v>162</v>
      </c>
      <c r="D117" s="192">
        <v>1000000000</v>
      </c>
      <c r="E117" s="192"/>
      <c r="F117" s="192"/>
      <c r="G117" s="192">
        <f>E117+F117</f>
        <v>0</v>
      </c>
      <c r="H117" s="24">
        <f>G117/D117</f>
        <v>0</v>
      </c>
      <c r="I117" s="209"/>
      <c r="J117" s="175"/>
    </row>
    <row r="118" spans="1:10" s="176" customFormat="1" x14ac:dyDescent="0.25">
      <c r="A118" s="169"/>
      <c r="B118" s="190"/>
      <c r="C118" s="193"/>
      <c r="D118" s="192"/>
      <c r="E118" s="192"/>
      <c r="F118" s="192"/>
      <c r="G118" s="191"/>
      <c r="H118" s="236"/>
      <c r="I118" s="209"/>
      <c r="J118" s="175"/>
    </row>
    <row r="119" spans="1:10" s="176" customFormat="1" x14ac:dyDescent="0.25">
      <c r="A119" s="168" t="s">
        <v>8</v>
      </c>
      <c r="B119" s="189" t="s">
        <v>320</v>
      </c>
      <c r="C119" s="185" t="s">
        <v>97</v>
      </c>
      <c r="D119" s="196">
        <f>SUM(D120:D121)</f>
        <v>2750000000</v>
      </c>
      <c r="E119" s="196">
        <f t="shared" ref="E119:G119" si="64">SUM(E120:E121)</f>
        <v>290476993.56999999</v>
      </c>
      <c r="F119" s="196">
        <f t="shared" si="64"/>
        <v>251766699.84999999</v>
      </c>
      <c r="G119" s="196">
        <f t="shared" si="64"/>
        <v>542243693.41999996</v>
      </c>
      <c r="H119" s="236">
        <f>G119/D119</f>
        <v>0.19717952487999998</v>
      </c>
      <c r="I119" s="207"/>
      <c r="J119" s="175"/>
    </row>
    <row r="120" spans="1:10" s="176" customFormat="1" x14ac:dyDescent="0.25">
      <c r="A120" s="188"/>
      <c r="B120" s="190" t="s">
        <v>514</v>
      </c>
      <c r="C120" s="183" t="s">
        <v>515</v>
      </c>
      <c r="D120" s="192">
        <v>2500000000</v>
      </c>
      <c r="E120" s="192">
        <f>'Realisasi Januari'!G120</f>
        <v>285478397.56999999</v>
      </c>
      <c r="F120" s="192">
        <v>245249944.84999999</v>
      </c>
      <c r="G120" s="192">
        <f>E120+F120</f>
        <v>530728342.41999996</v>
      </c>
      <c r="H120" s="24">
        <f>G120/D120</f>
        <v>0.21229133696799998</v>
      </c>
      <c r="I120" s="207"/>
      <c r="J120" s="175"/>
    </row>
    <row r="121" spans="1:10" s="176" customFormat="1" x14ac:dyDescent="0.25">
      <c r="A121" s="188"/>
      <c r="B121" s="190" t="s">
        <v>517</v>
      </c>
      <c r="C121" s="183" t="s">
        <v>516</v>
      </c>
      <c r="D121" s="192">
        <v>250000000</v>
      </c>
      <c r="E121" s="192">
        <f>'Realisasi Januari'!G121</f>
        <v>4998596</v>
      </c>
      <c r="F121" s="192">
        <v>6516755</v>
      </c>
      <c r="G121" s="192">
        <f>E121+F121</f>
        <v>11515351</v>
      </c>
      <c r="H121" s="24">
        <f>G121/D121</f>
        <v>4.6061404E-2</v>
      </c>
      <c r="I121" s="207"/>
      <c r="J121" s="175"/>
    </row>
    <row r="122" spans="1:10" s="176" customFormat="1" x14ac:dyDescent="0.25">
      <c r="A122" s="188"/>
      <c r="B122" s="178"/>
      <c r="C122" s="183"/>
      <c r="D122" s="192"/>
      <c r="E122" s="192"/>
      <c r="F122" s="192"/>
      <c r="G122" s="191"/>
      <c r="H122" s="236"/>
      <c r="I122" s="207"/>
      <c r="J122" s="175"/>
    </row>
    <row r="123" spans="1:10" s="176" customFormat="1" x14ac:dyDescent="0.25">
      <c r="A123" s="168" t="s">
        <v>49</v>
      </c>
      <c r="B123" s="189" t="s">
        <v>321</v>
      </c>
      <c r="C123" s="180" t="s">
        <v>98</v>
      </c>
      <c r="D123" s="196">
        <f>D124</f>
        <v>2600000000</v>
      </c>
      <c r="E123" s="196"/>
      <c r="F123" s="196">
        <f t="shared" ref="F123:G123" si="65">F124</f>
        <v>0</v>
      </c>
      <c r="G123" s="196">
        <f t="shared" si="65"/>
        <v>0</v>
      </c>
      <c r="H123" s="236">
        <f t="shared" ref="H123:H129" si="66">G123/D123</f>
        <v>0</v>
      </c>
      <c r="I123" s="207"/>
      <c r="J123" s="175"/>
    </row>
    <row r="124" spans="1:10" s="176" customFormat="1" x14ac:dyDescent="0.25">
      <c r="A124" s="168"/>
      <c r="B124" s="189" t="s">
        <v>322</v>
      </c>
      <c r="C124" s="180" t="s">
        <v>323</v>
      </c>
      <c r="D124" s="196">
        <f>SUM(D126:D129)</f>
        <v>2600000000</v>
      </c>
      <c r="E124" s="196"/>
      <c r="F124" s="196">
        <f t="shared" ref="F124:G124" si="67">SUM(F126:F129)</f>
        <v>0</v>
      </c>
      <c r="G124" s="196">
        <f t="shared" si="67"/>
        <v>0</v>
      </c>
      <c r="H124" s="236">
        <f t="shared" si="66"/>
        <v>0</v>
      </c>
      <c r="I124" s="207"/>
      <c r="J124" s="175"/>
    </row>
    <row r="125" spans="1:10" s="176" customFormat="1" x14ac:dyDescent="0.25">
      <c r="A125" s="168"/>
      <c r="B125" s="189" t="s">
        <v>518</v>
      </c>
      <c r="C125" s="180" t="s">
        <v>323</v>
      </c>
      <c r="D125" s="196">
        <f>SUM(D126:D129)</f>
        <v>2600000000</v>
      </c>
      <c r="E125" s="196">
        <f t="shared" ref="E125:G125" si="68">SUM(E126:E129)</f>
        <v>0</v>
      </c>
      <c r="F125" s="196">
        <f t="shared" si="68"/>
        <v>0</v>
      </c>
      <c r="G125" s="196">
        <f t="shared" si="68"/>
        <v>0</v>
      </c>
      <c r="H125" s="236">
        <f t="shared" si="66"/>
        <v>0</v>
      </c>
      <c r="I125" s="207"/>
      <c r="J125" s="175"/>
    </row>
    <row r="126" spans="1:10" s="176" customFormat="1" x14ac:dyDescent="0.25">
      <c r="A126" s="169"/>
      <c r="B126" s="177"/>
      <c r="C126" s="193" t="s">
        <v>324</v>
      </c>
      <c r="D126" s="181">
        <v>1200000000</v>
      </c>
      <c r="E126" s="181">
        <f>'Realisasi Januari'!G126</f>
        <v>0</v>
      </c>
      <c r="F126" s="181"/>
      <c r="G126" s="192">
        <f>E126+F126</f>
        <v>0</v>
      </c>
      <c r="H126" s="24">
        <f t="shared" si="66"/>
        <v>0</v>
      </c>
      <c r="I126" s="207"/>
      <c r="J126" s="175"/>
    </row>
    <row r="127" spans="1:10" s="176" customFormat="1" x14ac:dyDescent="0.25">
      <c r="A127" s="169"/>
      <c r="B127" s="177"/>
      <c r="C127" s="193" t="s">
        <v>325</v>
      </c>
      <c r="D127" s="181">
        <v>600000000</v>
      </c>
      <c r="E127" s="181">
        <f>'Realisasi Januari'!G127</f>
        <v>0</v>
      </c>
      <c r="F127" s="181"/>
      <c r="G127" s="192">
        <f t="shared" ref="G127:G129" si="69">E127+F127</f>
        <v>0</v>
      </c>
      <c r="H127" s="24">
        <f t="shared" si="66"/>
        <v>0</v>
      </c>
      <c r="I127" s="207"/>
      <c r="J127" s="175"/>
    </row>
    <row r="128" spans="1:10" s="176" customFormat="1" x14ac:dyDescent="0.25">
      <c r="A128" s="169"/>
      <c r="B128" s="178"/>
      <c r="C128" s="193" t="s">
        <v>578</v>
      </c>
      <c r="D128" s="181">
        <v>0</v>
      </c>
      <c r="E128" s="181">
        <f>'Realisasi Januari'!G128</f>
        <v>0</v>
      </c>
      <c r="F128" s="181"/>
      <c r="G128" s="192">
        <f t="shared" si="69"/>
        <v>0</v>
      </c>
      <c r="H128" s="24" t="e">
        <f t="shared" si="66"/>
        <v>#DIV/0!</v>
      </c>
      <c r="I128" s="207"/>
      <c r="J128" s="175"/>
    </row>
    <row r="129" spans="1:10" s="176" customFormat="1" x14ac:dyDescent="0.25">
      <c r="A129" s="169"/>
      <c r="B129" s="178"/>
      <c r="C129" s="193" t="s">
        <v>326</v>
      </c>
      <c r="D129" s="181">
        <v>800000000</v>
      </c>
      <c r="E129" s="181">
        <f>'Realisasi Januari'!G129</f>
        <v>0</v>
      </c>
      <c r="F129" s="181"/>
      <c r="G129" s="192">
        <f t="shared" si="69"/>
        <v>0</v>
      </c>
      <c r="H129" s="24">
        <f t="shared" si="66"/>
        <v>0</v>
      </c>
      <c r="I129" s="207"/>
      <c r="J129" s="175"/>
    </row>
    <row r="130" spans="1:10" s="176" customFormat="1" x14ac:dyDescent="0.25">
      <c r="A130" s="169"/>
      <c r="B130" s="170"/>
      <c r="C130" s="185"/>
      <c r="D130" s="191"/>
      <c r="E130" s="191"/>
      <c r="F130" s="191"/>
      <c r="G130" s="192"/>
      <c r="H130" s="24"/>
      <c r="I130" s="207"/>
      <c r="J130" s="175"/>
    </row>
    <row r="131" spans="1:10" s="176" customFormat="1" x14ac:dyDescent="0.25">
      <c r="A131" s="168" t="s">
        <v>53</v>
      </c>
      <c r="B131" s="189" t="s">
        <v>623</v>
      </c>
      <c r="C131" s="180" t="s">
        <v>626</v>
      </c>
      <c r="D131" s="196">
        <f>D132</f>
        <v>0</v>
      </c>
      <c r="E131" s="196">
        <f>E132</f>
        <v>25809001.280000001</v>
      </c>
      <c r="F131" s="196">
        <f t="shared" ref="F131:G132" si="70">F132</f>
        <v>7267374.3300000001</v>
      </c>
      <c r="G131" s="196">
        <f t="shared" si="70"/>
        <v>33076375.609999999</v>
      </c>
      <c r="H131" s="236" t="e">
        <f>G131/D131</f>
        <v>#DIV/0!</v>
      </c>
      <c r="I131" s="207"/>
      <c r="J131" s="175"/>
    </row>
    <row r="132" spans="1:10" s="176" customFormat="1" x14ac:dyDescent="0.25">
      <c r="A132" s="169"/>
      <c r="B132" s="189" t="s">
        <v>624</v>
      </c>
      <c r="C132" s="180" t="s">
        <v>626</v>
      </c>
      <c r="D132" s="196">
        <f>D133</f>
        <v>0</v>
      </c>
      <c r="E132" s="196">
        <f>E133</f>
        <v>25809001.280000001</v>
      </c>
      <c r="F132" s="196">
        <f t="shared" si="70"/>
        <v>7267374.3300000001</v>
      </c>
      <c r="G132" s="196">
        <f t="shared" si="70"/>
        <v>33076375.609999999</v>
      </c>
      <c r="H132" s="236" t="e">
        <f>G132/D132</f>
        <v>#DIV/0!</v>
      </c>
      <c r="I132" s="207"/>
      <c r="J132" s="175"/>
    </row>
    <row r="133" spans="1:10" s="176" customFormat="1" x14ac:dyDescent="0.25">
      <c r="A133" s="188"/>
      <c r="B133" s="190" t="s">
        <v>625</v>
      </c>
      <c r="C133" s="33" t="s">
        <v>626</v>
      </c>
      <c r="D133" s="181">
        <v>0</v>
      </c>
      <c r="E133" s="181">
        <f>'Realisasi Januari'!G133</f>
        <v>25809001.280000001</v>
      </c>
      <c r="F133" s="181">
        <v>7267374.3300000001</v>
      </c>
      <c r="G133" s="181">
        <f>E133+F133</f>
        <v>33076375.609999999</v>
      </c>
      <c r="H133" s="24" t="e">
        <f>G133/D133</f>
        <v>#DIV/0!</v>
      </c>
      <c r="I133" s="207"/>
      <c r="J133" s="175"/>
    </row>
    <row r="134" spans="1:10" s="176" customFormat="1" x14ac:dyDescent="0.25">
      <c r="A134" s="169"/>
      <c r="B134" s="177"/>
      <c r="C134" s="193"/>
      <c r="D134" s="181"/>
      <c r="E134" s="181"/>
      <c r="F134" s="181"/>
      <c r="G134" s="192"/>
      <c r="H134" s="24"/>
      <c r="I134" s="207"/>
      <c r="J134" s="175"/>
    </row>
    <row r="135" spans="1:10" s="176" customFormat="1" x14ac:dyDescent="0.25">
      <c r="A135" s="168" t="s">
        <v>62</v>
      </c>
      <c r="B135" s="179" t="s">
        <v>99</v>
      </c>
      <c r="C135" s="180" t="s">
        <v>100</v>
      </c>
      <c r="D135" s="191">
        <v>0</v>
      </c>
      <c r="E135" s="191"/>
      <c r="F135" s="191">
        <v>0</v>
      </c>
      <c r="G135" s="191">
        <f>E135+F135</f>
        <v>0</v>
      </c>
      <c r="H135" s="236"/>
      <c r="I135" s="207"/>
      <c r="J135" s="175"/>
    </row>
    <row r="136" spans="1:10" s="176" customFormat="1" x14ac:dyDescent="0.25">
      <c r="A136" s="169"/>
      <c r="B136" s="170"/>
      <c r="C136" s="185"/>
      <c r="D136" s="191"/>
      <c r="E136" s="191"/>
      <c r="F136" s="191"/>
      <c r="G136" s="191"/>
      <c r="H136" s="236"/>
      <c r="I136" s="207"/>
      <c r="J136" s="175"/>
    </row>
    <row r="137" spans="1:10" s="176" customFormat="1" x14ac:dyDescent="0.25">
      <c r="A137" s="168" t="s">
        <v>66</v>
      </c>
      <c r="B137" s="189" t="s">
        <v>328</v>
      </c>
      <c r="C137" s="180" t="s">
        <v>101</v>
      </c>
      <c r="D137" s="191">
        <f>SUM(D138:D148)</f>
        <v>0</v>
      </c>
      <c r="E137" s="191">
        <f t="shared" ref="E137:G137" si="71">SUM(E138:E148)</f>
        <v>25996131</v>
      </c>
      <c r="F137" s="191">
        <f t="shared" si="71"/>
        <v>102615685</v>
      </c>
      <c r="G137" s="191">
        <f t="shared" si="71"/>
        <v>128611816</v>
      </c>
      <c r="H137" s="236" t="e">
        <f t="shared" ref="H137:H145" si="72">G137/D137</f>
        <v>#DIV/0!</v>
      </c>
      <c r="I137" s="207"/>
      <c r="J137" s="175"/>
    </row>
    <row r="138" spans="1:10" s="176" customFormat="1" x14ac:dyDescent="0.25">
      <c r="A138" s="188"/>
      <c r="B138" s="190" t="s">
        <v>329</v>
      </c>
      <c r="C138" s="33" t="s">
        <v>102</v>
      </c>
      <c r="D138" s="192"/>
      <c r="E138" s="192">
        <f>'Realisasi Januari'!G138</f>
        <v>6815564</v>
      </c>
      <c r="F138" s="192">
        <v>2961445</v>
      </c>
      <c r="G138" s="192">
        <f>E138+F138</f>
        <v>9777009</v>
      </c>
      <c r="H138" s="24" t="e">
        <f t="shared" si="72"/>
        <v>#DIV/0!</v>
      </c>
      <c r="I138" s="207"/>
      <c r="J138" s="175"/>
    </row>
    <row r="139" spans="1:10" s="176" customFormat="1" x14ac:dyDescent="0.25">
      <c r="A139" s="188"/>
      <c r="B139" s="190" t="s">
        <v>330</v>
      </c>
      <c r="C139" s="33" t="s">
        <v>103</v>
      </c>
      <c r="D139" s="192"/>
      <c r="E139" s="192">
        <f>'Realisasi Januari'!G139</f>
        <v>3007584</v>
      </c>
      <c r="F139" s="192">
        <v>5733808</v>
      </c>
      <c r="G139" s="192">
        <f t="shared" ref="G139:G147" si="73">E139+F139</f>
        <v>8741392</v>
      </c>
      <c r="H139" s="24" t="e">
        <f t="shared" si="72"/>
        <v>#DIV/0!</v>
      </c>
      <c r="I139" s="207"/>
      <c r="J139" s="175"/>
    </row>
    <row r="140" spans="1:10" s="176" customFormat="1" x14ac:dyDescent="0.25">
      <c r="A140" s="188"/>
      <c r="B140" s="190" t="s">
        <v>331</v>
      </c>
      <c r="C140" s="33" t="s">
        <v>104</v>
      </c>
      <c r="D140" s="192"/>
      <c r="E140" s="192">
        <f>'Realisasi Januari'!G140</f>
        <v>4466533</v>
      </c>
      <c r="F140" s="192">
        <v>1761238</v>
      </c>
      <c r="G140" s="192">
        <f t="shared" si="73"/>
        <v>6227771</v>
      </c>
      <c r="H140" s="24" t="e">
        <f t="shared" si="72"/>
        <v>#DIV/0!</v>
      </c>
      <c r="I140" s="207"/>
      <c r="J140" s="175"/>
    </row>
    <row r="141" spans="1:10" s="176" customFormat="1" x14ac:dyDescent="0.25">
      <c r="A141" s="188"/>
      <c r="B141" s="190" t="s">
        <v>332</v>
      </c>
      <c r="C141" s="33" t="s">
        <v>105</v>
      </c>
      <c r="D141" s="192"/>
      <c r="E141" s="192">
        <f>'Realisasi Januari'!G141</f>
        <v>189713</v>
      </c>
      <c r="F141" s="192">
        <v>0</v>
      </c>
      <c r="G141" s="192">
        <f t="shared" si="73"/>
        <v>189713</v>
      </c>
      <c r="H141" s="24" t="e">
        <f t="shared" si="72"/>
        <v>#DIV/0!</v>
      </c>
      <c r="I141" s="207"/>
      <c r="J141" s="175"/>
    </row>
    <row r="142" spans="1:10" s="176" customFormat="1" x14ac:dyDescent="0.25">
      <c r="A142" s="188"/>
      <c r="B142" s="190" t="s">
        <v>333</v>
      </c>
      <c r="C142" s="33" t="s">
        <v>106</v>
      </c>
      <c r="D142" s="192"/>
      <c r="E142" s="192">
        <f>'Realisasi Januari'!G142</f>
        <v>390543</v>
      </c>
      <c r="F142" s="192">
        <v>648362</v>
      </c>
      <c r="G142" s="192">
        <f t="shared" si="73"/>
        <v>1038905</v>
      </c>
      <c r="H142" s="24" t="e">
        <f t="shared" si="72"/>
        <v>#DIV/0!</v>
      </c>
      <c r="I142" s="207"/>
      <c r="J142" s="175"/>
    </row>
    <row r="143" spans="1:10" s="176" customFormat="1" x14ac:dyDescent="0.25">
      <c r="A143" s="188"/>
      <c r="B143" s="190" t="s">
        <v>334</v>
      </c>
      <c r="C143" s="33" t="s">
        <v>107</v>
      </c>
      <c r="D143" s="192"/>
      <c r="E143" s="192">
        <f>'Realisasi Januari'!G143</f>
        <v>1357974</v>
      </c>
      <c r="F143" s="192">
        <v>254694</v>
      </c>
      <c r="G143" s="192">
        <f t="shared" si="73"/>
        <v>1612668</v>
      </c>
      <c r="H143" s="24" t="e">
        <f t="shared" si="72"/>
        <v>#DIV/0!</v>
      </c>
      <c r="I143" s="207"/>
      <c r="J143" s="175"/>
    </row>
    <row r="144" spans="1:10" s="176" customFormat="1" x14ac:dyDescent="0.25">
      <c r="A144" s="188"/>
      <c r="B144" s="190" t="s">
        <v>335</v>
      </c>
      <c r="C144" s="33" t="s">
        <v>108</v>
      </c>
      <c r="D144" s="192"/>
      <c r="E144" s="192">
        <f>'Realisasi Januari'!G144</f>
        <v>52752</v>
      </c>
      <c r="F144" s="192">
        <v>11183630</v>
      </c>
      <c r="G144" s="192">
        <f t="shared" si="73"/>
        <v>11236382</v>
      </c>
      <c r="H144" s="24" t="e">
        <f t="shared" si="72"/>
        <v>#DIV/0!</v>
      </c>
      <c r="I144" s="207"/>
      <c r="J144" s="175"/>
    </row>
    <row r="145" spans="1:10" s="176" customFormat="1" x14ac:dyDescent="0.25">
      <c r="A145" s="188"/>
      <c r="B145" s="190" t="s">
        <v>336</v>
      </c>
      <c r="C145" s="33" t="s">
        <v>109</v>
      </c>
      <c r="D145" s="192"/>
      <c r="E145" s="192">
        <f>'Realisasi Januari'!G145</f>
        <v>566410</v>
      </c>
      <c r="F145" s="192">
        <v>98250</v>
      </c>
      <c r="G145" s="192">
        <f t="shared" si="73"/>
        <v>664660</v>
      </c>
      <c r="H145" s="24" t="e">
        <f t="shared" si="72"/>
        <v>#DIV/0!</v>
      </c>
      <c r="I145" s="207"/>
      <c r="J145" s="175"/>
    </row>
    <row r="146" spans="1:10" s="176" customFormat="1" x14ac:dyDescent="0.25">
      <c r="A146" s="188"/>
      <c r="B146" s="190" t="s">
        <v>484</v>
      </c>
      <c r="C146" s="33" t="s">
        <v>482</v>
      </c>
      <c r="D146" s="192"/>
      <c r="E146" s="192">
        <f>'Realisasi Januari'!G146</f>
        <v>0</v>
      </c>
      <c r="F146" s="192"/>
      <c r="G146" s="192">
        <f t="shared" si="73"/>
        <v>0</v>
      </c>
      <c r="H146" s="24"/>
      <c r="I146" s="207"/>
      <c r="J146" s="175"/>
    </row>
    <row r="147" spans="1:10" s="176" customFormat="1" x14ac:dyDescent="0.25">
      <c r="A147" s="188"/>
      <c r="B147" s="190" t="s">
        <v>337</v>
      </c>
      <c r="C147" s="33" t="s">
        <v>110</v>
      </c>
      <c r="D147" s="192"/>
      <c r="E147" s="192">
        <f>'Realisasi Januari'!G147</f>
        <v>9149058</v>
      </c>
      <c r="F147" s="192">
        <v>79974258</v>
      </c>
      <c r="G147" s="192">
        <f t="shared" si="73"/>
        <v>89123316</v>
      </c>
      <c r="H147" s="24" t="e">
        <f>G147/D147</f>
        <v>#DIV/0!</v>
      </c>
      <c r="I147" s="207"/>
      <c r="J147" s="175"/>
    </row>
    <row r="148" spans="1:10" s="176" customFormat="1" x14ac:dyDescent="0.25">
      <c r="A148" s="188"/>
      <c r="B148" s="190" t="s">
        <v>485</v>
      </c>
      <c r="C148" s="33" t="s">
        <v>483</v>
      </c>
      <c r="D148" s="192">
        <v>0</v>
      </c>
      <c r="E148" s="192">
        <f>'Realisasi Januari'!G148</f>
        <v>0</v>
      </c>
      <c r="F148" s="192"/>
      <c r="G148" s="192">
        <f>F148-D148</f>
        <v>0</v>
      </c>
      <c r="H148" s="24" t="e">
        <f>G148/D148</f>
        <v>#DIV/0!</v>
      </c>
      <c r="I148" s="207"/>
      <c r="J148" s="175"/>
    </row>
    <row r="149" spans="1:10" s="176" customFormat="1" x14ac:dyDescent="0.25">
      <c r="A149" s="169"/>
      <c r="B149" s="170"/>
      <c r="C149" s="180"/>
      <c r="D149" s="191"/>
      <c r="E149" s="191"/>
      <c r="F149" s="191"/>
      <c r="G149" s="191"/>
      <c r="H149" s="24"/>
      <c r="I149" s="207"/>
      <c r="J149" s="175"/>
    </row>
    <row r="150" spans="1:10" s="176" customFormat="1" x14ac:dyDescent="0.25">
      <c r="A150" s="168" t="s">
        <v>73</v>
      </c>
      <c r="B150" s="189" t="s">
        <v>327</v>
      </c>
      <c r="C150" s="185" t="s">
        <v>111</v>
      </c>
      <c r="D150" s="191"/>
      <c r="E150" s="191"/>
      <c r="F150" s="191"/>
      <c r="G150" s="191"/>
      <c r="H150" s="236" t="e">
        <f t="shared" ref="H150" si="74">G150/D150</f>
        <v>#DIV/0!</v>
      </c>
      <c r="I150" s="207"/>
      <c r="J150" s="175"/>
    </row>
    <row r="151" spans="1:10" s="176" customFormat="1" x14ac:dyDescent="0.25">
      <c r="A151" s="169"/>
      <c r="B151" s="170"/>
      <c r="C151" s="185"/>
      <c r="D151" s="191"/>
      <c r="E151" s="191"/>
      <c r="F151" s="191"/>
      <c r="G151" s="191"/>
      <c r="H151" s="236"/>
      <c r="I151" s="207"/>
      <c r="J151" s="175"/>
    </row>
    <row r="152" spans="1:10" s="176" customFormat="1" x14ac:dyDescent="0.25">
      <c r="A152" s="168" t="s">
        <v>74</v>
      </c>
      <c r="B152" s="189" t="s">
        <v>338</v>
      </c>
      <c r="C152" s="34" t="s">
        <v>339</v>
      </c>
      <c r="D152" s="191">
        <f>D153+D156</f>
        <v>0</v>
      </c>
      <c r="E152" s="191">
        <f>E153+E156</f>
        <v>2681800</v>
      </c>
      <c r="F152" s="191">
        <f t="shared" ref="F152:G152" si="75">F153+F156</f>
        <v>3000000</v>
      </c>
      <c r="G152" s="191">
        <f t="shared" si="75"/>
        <v>5681800</v>
      </c>
      <c r="H152" s="277" t="e">
        <f>G152/D152</f>
        <v>#DIV/0!</v>
      </c>
      <c r="I152" s="207"/>
      <c r="J152" s="175"/>
    </row>
    <row r="153" spans="1:10" s="176" customFormat="1" x14ac:dyDescent="0.25">
      <c r="A153" s="169"/>
      <c r="B153" s="189" t="s">
        <v>596</v>
      </c>
      <c r="C153" s="180" t="s">
        <v>598</v>
      </c>
      <c r="D153" s="191">
        <f>D154</f>
        <v>0</v>
      </c>
      <c r="E153" s="191"/>
      <c r="F153" s="191">
        <f t="shared" ref="F153:G153" si="76">F154</f>
        <v>3000000</v>
      </c>
      <c r="G153" s="191">
        <f t="shared" si="76"/>
        <v>3000000</v>
      </c>
      <c r="H153" s="277" t="e">
        <f>G153/D153</f>
        <v>#DIV/0!</v>
      </c>
      <c r="I153" s="207"/>
      <c r="J153" s="175"/>
    </row>
    <row r="154" spans="1:10" s="176" customFormat="1" x14ac:dyDescent="0.25">
      <c r="A154" s="169"/>
      <c r="B154" s="190" t="s">
        <v>597</v>
      </c>
      <c r="C154" s="33" t="s">
        <v>598</v>
      </c>
      <c r="D154" s="192">
        <v>0</v>
      </c>
      <c r="E154" s="192"/>
      <c r="F154" s="192">
        <v>3000000</v>
      </c>
      <c r="G154" s="192">
        <f>E154+F154</f>
        <v>3000000</v>
      </c>
      <c r="H154" s="278" t="e">
        <f>G154/D154</f>
        <v>#DIV/0!</v>
      </c>
      <c r="I154" s="207"/>
      <c r="J154" s="175"/>
    </row>
    <row r="155" spans="1:10" s="176" customFormat="1" x14ac:dyDescent="0.25">
      <c r="A155" s="169"/>
      <c r="B155" s="170"/>
      <c r="C155" s="180"/>
      <c r="D155" s="191"/>
      <c r="E155" s="191"/>
      <c r="F155" s="191"/>
      <c r="G155" s="191"/>
      <c r="H155" s="277"/>
      <c r="I155" s="207"/>
      <c r="J155" s="175"/>
    </row>
    <row r="156" spans="1:10" s="176" customFormat="1" x14ac:dyDescent="0.25">
      <c r="A156" s="169"/>
      <c r="B156" s="189" t="s">
        <v>599</v>
      </c>
      <c r="C156" s="180" t="s">
        <v>601</v>
      </c>
      <c r="D156" s="191">
        <f>D157</f>
        <v>0</v>
      </c>
      <c r="E156" s="191">
        <f>E157</f>
        <v>2681800</v>
      </c>
      <c r="F156" s="191">
        <f t="shared" ref="F156:G156" si="77">F157</f>
        <v>0</v>
      </c>
      <c r="G156" s="191">
        <f t="shared" si="77"/>
        <v>2681800</v>
      </c>
      <c r="H156" s="277" t="e">
        <f>G156/D156</f>
        <v>#DIV/0!</v>
      </c>
      <c r="I156" s="207"/>
      <c r="J156" s="175"/>
    </row>
    <row r="157" spans="1:10" s="176" customFormat="1" x14ac:dyDescent="0.25">
      <c r="A157" s="169"/>
      <c r="B157" s="190" t="s">
        <v>600</v>
      </c>
      <c r="C157" s="33" t="s">
        <v>601</v>
      </c>
      <c r="D157" s="192">
        <v>0</v>
      </c>
      <c r="E157" s="192">
        <f>'Realisasi Januari'!G157</f>
        <v>2681800</v>
      </c>
      <c r="F157" s="192"/>
      <c r="G157" s="192">
        <f>E157+F157</f>
        <v>2681800</v>
      </c>
      <c r="H157" s="278" t="e">
        <f>G157/D157</f>
        <v>#DIV/0!</v>
      </c>
      <c r="I157" s="207"/>
      <c r="J157" s="175"/>
    </row>
    <row r="158" spans="1:10" s="176" customFormat="1" x14ac:dyDescent="0.25">
      <c r="A158" s="169"/>
      <c r="B158" s="190"/>
      <c r="C158" s="33"/>
      <c r="D158" s="192"/>
      <c r="E158" s="192"/>
      <c r="F158" s="192"/>
      <c r="G158" s="192"/>
      <c r="H158" s="278"/>
      <c r="I158" s="207"/>
      <c r="J158" s="175"/>
    </row>
    <row r="159" spans="1:10" s="176" customFormat="1" x14ac:dyDescent="0.25">
      <c r="A159" s="168" t="s">
        <v>81</v>
      </c>
      <c r="B159" s="22" t="s">
        <v>306</v>
      </c>
      <c r="C159" s="185" t="s">
        <v>75</v>
      </c>
      <c r="D159" s="196">
        <f>D160</f>
        <v>122100000000</v>
      </c>
      <c r="E159" s="196">
        <f t="shared" ref="E159:F159" si="78">E160</f>
        <v>6714847852</v>
      </c>
      <c r="F159" s="196">
        <f t="shared" si="78"/>
        <v>2369220775</v>
      </c>
      <c r="G159" s="196">
        <f t="shared" ref="F159:G160" si="79">G160</f>
        <v>9084068627</v>
      </c>
      <c r="H159" s="236">
        <f t="shared" ref="H159:H191" si="80">G159/D159</f>
        <v>7.4398596453726457E-2</v>
      </c>
      <c r="I159" s="207" t="s">
        <v>112</v>
      </c>
      <c r="J159" s="175"/>
    </row>
    <row r="160" spans="1:10" s="176" customFormat="1" x14ac:dyDescent="0.25">
      <c r="A160" s="168"/>
      <c r="B160" s="189" t="s">
        <v>340</v>
      </c>
      <c r="C160" s="185" t="s">
        <v>341</v>
      </c>
      <c r="D160" s="196">
        <f>D161</f>
        <v>122100000000</v>
      </c>
      <c r="E160" s="196">
        <f t="shared" ref="E160" si="81">E161</f>
        <v>6714847852</v>
      </c>
      <c r="F160" s="196">
        <f t="shared" si="79"/>
        <v>2369220775</v>
      </c>
      <c r="G160" s="196">
        <f t="shared" si="79"/>
        <v>9084068627</v>
      </c>
      <c r="H160" s="236">
        <f t="shared" si="80"/>
        <v>7.4398596453726457E-2</v>
      </c>
      <c r="I160" s="207"/>
      <c r="J160" s="175"/>
    </row>
    <row r="161" spans="1:10" s="176" customFormat="1" x14ac:dyDescent="0.25">
      <c r="A161" s="188"/>
      <c r="B161" s="178"/>
      <c r="C161" s="185" t="s">
        <v>113</v>
      </c>
      <c r="D161" s="191">
        <f>D162+D169+D175+D178+D182+D185+D188+D191+D195</f>
        <v>122100000000</v>
      </c>
      <c r="E161" s="191">
        <f t="shared" ref="E161:F161" si="82">E162+E169+E175+E178+E182+E185+E188+E191+E195</f>
        <v>6714847852</v>
      </c>
      <c r="F161" s="191">
        <f t="shared" si="82"/>
        <v>2369220775</v>
      </c>
      <c r="G161" s="191">
        <f t="shared" ref="G161" si="83">G162+G169+G175+G178+G182+G185+G188+G191+G195</f>
        <v>9084068627</v>
      </c>
      <c r="H161" s="236">
        <f>G161/D161</f>
        <v>7.4398596453726457E-2</v>
      </c>
      <c r="I161" s="207" t="s">
        <v>114</v>
      </c>
      <c r="J161" s="175"/>
    </row>
    <row r="162" spans="1:10" s="176" customFormat="1" x14ac:dyDescent="0.25">
      <c r="A162" s="188"/>
      <c r="B162" s="178"/>
      <c r="C162" s="35" t="s">
        <v>115</v>
      </c>
      <c r="D162" s="191">
        <f>SUM(D163:D168)</f>
        <v>10327224000</v>
      </c>
      <c r="E162" s="191">
        <f t="shared" ref="E162:F162" si="84">SUM(E163:E168)</f>
        <v>830718905</v>
      </c>
      <c r="F162" s="191">
        <f t="shared" si="84"/>
        <v>813566538</v>
      </c>
      <c r="G162" s="191">
        <f t="shared" ref="G162" si="85">SUM(G163:G168)</f>
        <v>1644285443</v>
      </c>
      <c r="H162" s="236">
        <f t="shared" si="80"/>
        <v>0.15921853181455151</v>
      </c>
      <c r="I162" s="207"/>
      <c r="J162" s="175"/>
    </row>
    <row r="163" spans="1:10" s="176" customFormat="1" x14ac:dyDescent="0.25">
      <c r="A163" s="188"/>
      <c r="B163" s="178"/>
      <c r="C163" s="171" t="s">
        <v>116</v>
      </c>
      <c r="D163" s="192">
        <v>794144000</v>
      </c>
      <c r="E163" s="192">
        <f>'Realisasi Januari'!G163</f>
        <v>54099572</v>
      </c>
      <c r="F163" s="192">
        <v>59666316</v>
      </c>
      <c r="G163" s="192">
        <f>E163+F163</f>
        <v>113765888</v>
      </c>
      <c r="H163" s="24">
        <f t="shared" si="80"/>
        <v>0.14325599387516622</v>
      </c>
      <c r="I163" s="207"/>
      <c r="J163" s="175"/>
    </row>
    <row r="164" spans="1:10" s="176" customFormat="1" x14ac:dyDescent="0.25">
      <c r="A164" s="188"/>
      <c r="B164" s="178"/>
      <c r="C164" s="171" t="s">
        <v>117</v>
      </c>
      <c r="D164" s="192">
        <v>1454000000</v>
      </c>
      <c r="E164" s="192">
        <f>'Realisasi Januari'!G164</f>
        <v>209094050</v>
      </c>
      <c r="F164" s="192">
        <v>272425566</v>
      </c>
      <c r="G164" s="192">
        <f t="shared" ref="G164:G168" si="86">E164+F164</f>
        <v>481519616</v>
      </c>
      <c r="H164" s="24">
        <f t="shared" si="80"/>
        <v>0.33116892434662998</v>
      </c>
      <c r="I164" s="207"/>
      <c r="J164" s="175"/>
    </row>
    <row r="165" spans="1:10" s="176" customFormat="1" x14ac:dyDescent="0.25">
      <c r="A165" s="188"/>
      <c r="B165" s="178"/>
      <c r="C165" s="171" t="s">
        <v>118</v>
      </c>
      <c r="D165" s="192">
        <v>4535600000</v>
      </c>
      <c r="E165" s="192">
        <f>'Realisasi Januari'!G165</f>
        <v>297259411</v>
      </c>
      <c r="F165" s="192">
        <v>266474708</v>
      </c>
      <c r="G165" s="192">
        <f t="shared" si="86"/>
        <v>563734119</v>
      </c>
      <c r="H165" s="24">
        <f t="shared" si="80"/>
        <v>0.12429096900079373</v>
      </c>
      <c r="I165" s="207"/>
      <c r="J165" s="175"/>
    </row>
    <row r="166" spans="1:10" s="176" customFormat="1" x14ac:dyDescent="0.25">
      <c r="A166" s="188"/>
      <c r="B166" s="178"/>
      <c r="C166" s="171" t="s">
        <v>119</v>
      </c>
      <c r="D166" s="192">
        <v>2388980000</v>
      </c>
      <c r="E166" s="192">
        <f>'Realisasi Januari'!G166</f>
        <v>116298000</v>
      </c>
      <c r="F166" s="192">
        <v>107599149</v>
      </c>
      <c r="G166" s="192">
        <f t="shared" si="86"/>
        <v>223897149</v>
      </c>
      <c r="H166" s="24">
        <f t="shared" si="80"/>
        <v>9.3720813485253116E-2</v>
      </c>
      <c r="I166" s="207"/>
      <c r="J166" s="175"/>
    </row>
    <row r="167" spans="1:10" s="176" customFormat="1" x14ac:dyDescent="0.25">
      <c r="A167" s="188"/>
      <c r="B167" s="178"/>
      <c r="C167" s="171" t="s">
        <v>120</v>
      </c>
      <c r="D167" s="192">
        <v>51200000</v>
      </c>
      <c r="E167" s="192">
        <f>'Realisasi Januari'!G167</f>
        <v>4680000</v>
      </c>
      <c r="F167" s="192">
        <v>4173000</v>
      </c>
      <c r="G167" s="192">
        <f t="shared" si="86"/>
        <v>8853000</v>
      </c>
      <c r="H167" s="24">
        <f t="shared" si="80"/>
        <v>0.17291015625</v>
      </c>
      <c r="I167" s="207"/>
      <c r="J167" s="175"/>
    </row>
    <row r="168" spans="1:10" s="176" customFormat="1" x14ac:dyDescent="0.25">
      <c r="A168" s="188"/>
      <c r="B168" s="178"/>
      <c r="C168" s="171" t="s">
        <v>121</v>
      </c>
      <c r="D168" s="192">
        <v>1103300000</v>
      </c>
      <c r="E168" s="192">
        <f>'Realisasi Januari'!G168</f>
        <v>149287872</v>
      </c>
      <c r="F168" s="192">
        <v>103227799</v>
      </c>
      <c r="G168" s="192">
        <f t="shared" si="86"/>
        <v>252515671</v>
      </c>
      <c r="H168" s="24">
        <f t="shared" si="80"/>
        <v>0.22887308166409862</v>
      </c>
      <c r="I168" s="207"/>
      <c r="J168" s="175"/>
    </row>
    <row r="169" spans="1:10" s="176" customFormat="1" x14ac:dyDescent="0.25">
      <c r="A169" s="188"/>
      <c r="B169" s="178"/>
      <c r="C169" s="185" t="s">
        <v>122</v>
      </c>
      <c r="D169" s="191">
        <f>SUM(D170:D174)</f>
        <v>71738434000</v>
      </c>
      <c r="E169" s="191">
        <f t="shared" ref="E169:G169" si="87">SUM(E170:E174)</f>
        <v>5550189658</v>
      </c>
      <c r="F169" s="191">
        <f t="shared" si="87"/>
        <v>1298690253</v>
      </c>
      <c r="G169" s="191">
        <f t="shared" si="87"/>
        <v>6848879911</v>
      </c>
      <c r="H169" s="236">
        <f t="shared" si="80"/>
        <v>9.5470161935790235E-2</v>
      </c>
      <c r="I169" s="207"/>
      <c r="J169" s="175"/>
    </row>
    <row r="170" spans="1:10" s="176" customFormat="1" x14ac:dyDescent="0.25">
      <c r="A170" s="188"/>
      <c r="B170" s="178"/>
      <c r="C170" s="171" t="s">
        <v>117</v>
      </c>
      <c r="D170" s="192">
        <v>19459500000</v>
      </c>
      <c r="E170" s="192">
        <f>'Realisasi Januari'!G170</f>
        <v>2104828700</v>
      </c>
      <c r="F170" s="192">
        <v>103504300</v>
      </c>
      <c r="G170" s="192">
        <f>E170+F170</f>
        <v>2208333000</v>
      </c>
      <c r="H170" s="24">
        <f t="shared" si="80"/>
        <v>0.11348354274261929</v>
      </c>
      <c r="I170" s="207"/>
      <c r="J170" s="175"/>
    </row>
    <row r="171" spans="1:10" s="176" customFormat="1" x14ac:dyDescent="0.25">
      <c r="A171" s="188"/>
      <c r="B171" s="178"/>
      <c r="C171" s="171" t="s">
        <v>118</v>
      </c>
      <c r="D171" s="192">
        <v>49831374000</v>
      </c>
      <c r="E171" s="192">
        <f>'Realisasi Januari'!G171</f>
        <v>2968835800</v>
      </c>
      <c r="F171" s="192">
        <v>937057033</v>
      </c>
      <c r="G171" s="192">
        <f t="shared" ref="G171:G174" si="88">E171+F171</f>
        <v>3905892833</v>
      </c>
      <c r="H171" s="24">
        <f t="shared" si="80"/>
        <v>7.8382202204578991E-2</v>
      </c>
      <c r="I171" s="207"/>
      <c r="J171" s="175"/>
    </row>
    <row r="172" spans="1:10" s="176" customFormat="1" x14ac:dyDescent="0.25">
      <c r="A172" s="188"/>
      <c r="B172" s="178"/>
      <c r="C172" s="171" t="s">
        <v>123</v>
      </c>
      <c r="D172" s="192">
        <v>227620000</v>
      </c>
      <c r="E172" s="192">
        <f>'Realisasi Januari'!G172</f>
        <v>52750000</v>
      </c>
      <c r="F172" s="192">
        <v>30000000</v>
      </c>
      <c r="G172" s="192">
        <f t="shared" si="88"/>
        <v>82750000</v>
      </c>
      <c r="H172" s="24">
        <f t="shared" si="80"/>
        <v>0.36354450399789123</v>
      </c>
      <c r="I172" s="207"/>
      <c r="J172" s="175"/>
    </row>
    <row r="173" spans="1:10" s="176" customFormat="1" x14ac:dyDescent="0.25">
      <c r="A173" s="188"/>
      <c r="B173" s="178"/>
      <c r="C173" s="171" t="s">
        <v>124</v>
      </c>
      <c r="D173" s="192">
        <v>2087340000</v>
      </c>
      <c r="E173" s="192">
        <f>'Realisasi Januari'!G173</f>
        <v>423775158</v>
      </c>
      <c r="F173" s="192">
        <v>212528920</v>
      </c>
      <c r="G173" s="192">
        <f t="shared" si="88"/>
        <v>636304078</v>
      </c>
      <c r="H173" s="24">
        <f t="shared" si="80"/>
        <v>0.30483968974867537</v>
      </c>
      <c r="I173" s="207"/>
      <c r="J173" s="175"/>
    </row>
    <row r="174" spans="1:10" s="176" customFormat="1" x14ac:dyDescent="0.25">
      <c r="A174" s="188"/>
      <c r="B174" s="178"/>
      <c r="C174" s="171" t="s">
        <v>120</v>
      </c>
      <c r="D174" s="192">
        <v>132600000</v>
      </c>
      <c r="E174" s="192">
        <f>'Realisasi Januari'!G174</f>
        <v>0</v>
      </c>
      <c r="F174" s="192">
        <v>15600000</v>
      </c>
      <c r="G174" s="192">
        <f t="shared" si="88"/>
        <v>15600000</v>
      </c>
      <c r="H174" s="24">
        <f t="shared" si="80"/>
        <v>0.11764705882352941</v>
      </c>
      <c r="I174" s="207"/>
      <c r="J174" s="175"/>
    </row>
    <row r="175" spans="1:10" s="176" customFormat="1" x14ac:dyDescent="0.25">
      <c r="A175" s="188"/>
      <c r="B175" s="178"/>
      <c r="C175" s="185" t="s">
        <v>125</v>
      </c>
      <c r="D175" s="191">
        <f>SUM(D176:D177)</f>
        <v>31531500000</v>
      </c>
      <c r="E175" s="191">
        <f t="shared" ref="E175:G175" si="89">SUM(E176:E177)</f>
        <v>0</v>
      </c>
      <c r="F175" s="191">
        <f t="shared" si="89"/>
        <v>0</v>
      </c>
      <c r="G175" s="191">
        <f t="shared" si="89"/>
        <v>0</v>
      </c>
      <c r="H175" s="236">
        <f t="shared" si="80"/>
        <v>0</v>
      </c>
      <c r="I175" s="207"/>
      <c r="J175" s="175"/>
    </row>
    <row r="176" spans="1:10" s="176" customFormat="1" x14ac:dyDescent="0.25">
      <c r="A176" s="188"/>
      <c r="B176" s="178"/>
      <c r="C176" s="171" t="s">
        <v>117</v>
      </c>
      <c r="D176" s="192">
        <v>31500000</v>
      </c>
      <c r="E176" s="192">
        <f>'Realisasi Januari'!G176</f>
        <v>0</v>
      </c>
      <c r="F176" s="192">
        <v>0</v>
      </c>
      <c r="G176" s="192">
        <f>E176+F176</f>
        <v>0</v>
      </c>
      <c r="H176" s="24">
        <f t="shared" si="80"/>
        <v>0</v>
      </c>
      <c r="I176" s="207"/>
      <c r="J176" s="175"/>
    </row>
    <row r="177" spans="1:10" s="176" customFormat="1" x14ac:dyDescent="0.25">
      <c r="A177" s="188"/>
      <c r="B177" s="178"/>
      <c r="C177" s="171" t="s">
        <v>118</v>
      </c>
      <c r="D177" s="192">
        <v>31500000000</v>
      </c>
      <c r="E177" s="192">
        <f>'Realisasi Januari'!G177</f>
        <v>0</v>
      </c>
      <c r="F177" s="192">
        <v>0</v>
      </c>
      <c r="G177" s="192">
        <f>E177+F177</f>
        <v>0</v>
      </c>
      <c r="H177" s="24">
        <f t="shared" si="80"/>
        <v>0</v>
      </c>
      <c r="I177" s="207"/>
      <c r="J177" s="175"/>
    </row>
    <row r="178" spans="1:10" s="176" customFormat="1" x14ac:dyDescent="0.25">
      <c r="A178" s="188"/>
      <c r="B178" s="178"/>
      <c r="C178" s="185" t="s">
        <v>126</v>
      </c>
      <c r="D178" s="191">
        <f>SUM(D179:D181)</f>
        <v>3381016000</v>
      </c>
      <c r="E178" s="191">
        <f t="shared" ref="E178:G178" si="90">SUM(E179:E181)</f>
        <v>158600020</v>
      </c>
      <c r="F178" s="191">
        <f t="shared" si="90"/>
        <v>242659790</v>
      </c>
      <c r="G178" s="191">
        <f t="shared" si="90"/>
        <v>401259810</v>
      </c>
      <c r="H178" s="236">
        <f t="shared" si="80"/>
        <v>0.11868024581959979</v>
      </c>
      <c r="I178" s="207"/>
      <c r="J178" s="175"/>
    </row>
    <row r="179" spans="1:10" s="176" customFormat="1" x14ac:dyDescent="0.25">
      <c r="A179" s="188"/>
      <c r="B179" s="178"/>
      <c r="C179" s="171" t="s">
        <v>117</v>
      </c>
      <c r="D179" s="192">
        <v>644736000</v>
      </c>
      <c r="E179" s="192">
        <f>'Realisasi Januari'!G179</f>
        <v>22223331</v>
      </c>
      <c r="F179" s="192">
        <v>35185871</v>
      </c>
      <c r="G179" s="192">
        <f>E179+F179</f>
        <v>57409202</v>
      </c>
      <c r="H179" s="24">
        <f t="shared" si="80"/>
        <v>8.9042960219376618E-2</v>
      </c>
      <c r="I179" s="207" t="s">
        <v>127</v>
      </c>
      <c r="J179" s="175"/>
    </row>
    <row r="180" spans="1:10" s="176" customFormat="1" x14ac:dyDescent="0.25">
      <c r="A180" s="188"/>
      <c r="B180" s="178"/>
      <c r="C180" s="171" t="s">
        <v>118</v>
      </c>
      <c r="D180" s="192">
        <v>2080780000</v>
      </c>
      <c r="E180" s="192">
        <f>'Realisasi Januari'!G180</f>
        <v>121660829</v>
      </c>
      <c r="F180" s="192">
        <v>170050355</v>
      </c>
      <c r="G180" s="192">
        <f t="shared" ref="G180:G181" si="91">E180+F180</f>
        <v>291711184</v>
      </c>
      <c r="H180" s="24">
        <f t="shared" si="80"/>
        <v>0.14019318909255182</v>
      </c>
      <c r="I180" s="207"/>
      <c r="J180" s="175"/>
    </row>
    <row r="181" spans="1:10" s="176" customFormat="1" x14ac:dyDescent="0.25">
      <c r="A181" s="188"/>
      <c r="B181" s="178"/>
      <c r="C181" s="171" t="s">
        <v>128</v>
      </c>
      <c r="D181" s="192">
        <v>655500000</v>
      </c>
      <c r="E181" s="192">
        <f>'Realisasi Januari'!G181</f>
        <v>14715860</v>
      </c>
      <c r="F181" s="192">
        <v>37423564</v>
      </c>
      <c r="G181" s="192">
        <f t="shared" si="91"/>
        <v>52139424</v>
      </c>
      <c r="H181" s="24">
        <f t="shared" si="80"/>
        <v>7.9541455377574372E-2</v>
      </c>
      <c r="I181" s="207"/>
      <c r="J181" s="175"/>
    </row>
    <row r="182" spans="1:10" s="176" customFormat="1" x14ac:dyDescent="0.25">
      <c r="A182" s="169"/>
      <c r="B182" s="178"/>
      <c r="C182" s="185" t="s">
        <v>129</v>
      </c>
      <c r="D182" s="191">
        <f>SUM(D183:D184)</f>
        <v>3861588000</v>
      </c>
      <c r="E182" s="191">
        <f t="shared" ref="E182:G182" si="92">SUM(E183:E184)</f>
        <v>0</v>
      </c>
      <c r="F182" s="191">
        <f t="shared" si="92"/>
        <v>0</v>
      </c>
      <c r="G182" s="191">
        <f t="shared" si="92"/>
        <v>0</v>
      </c>
      <c r="H182" s="236">
        <f t="shared" si="80"/>
        <v>0</v>
      </c>
      <c r="I182" s="207"/>
      <c r="J182" s="175"/>
    </row>
    <row r="183" spans="1:10" s="176" customFormat="1" x14ac:dyDescent="0.25">
      <c r="A183" s="188"/>
      <c r="B183" s="178"/>
      <c r="C183" s="171" t="s">
        <v>117</v>
      </c>
      <c r="D183" s="192">
        <v>60588000</v>
      </c>
      <c r="E183" s="192">
        <f>'Realisasi Januari'!G183</f>
        <v>0</v>
      </c>
      <c r="F183" s="192"/>
      <c r="G183" s="192">
        <f>E183+F183</f>
        <v>0</v>
      </c>
      <c r="H183" s="24">
        <f t="shared" si="80"/>
        <v>0</v>
      </c>
      <c r="I183" s="207"/>
      <c r="J183" s="175"/>
    </row>
    <row r="184" spans="1:10" s="176" customFormat="1" x14ac:dyDescent="0.25">
      <c r="A184" s="188"/>
      <c r="B184" s="178"/>
      <c r="C184" s="171" t="s">
        <v>118</v>
      </c>
      <c r="D184" s="192">
        <v>3801000000</v>
      </c>
      <c r="E184" s="192">
        <f>'Realisasi Januari'!G184</f>
        <v>0</v>
      </c>
      <c r="F184" s="192"/>
      <c r="G184" s="192">
        <f>E184+F184</f>
        <v>0</v>
      </c>
      <c r="H184" s="24">
        <f t="shared" si="80"/>
        <v>0</v>
      </c>
      <c r="I184" s="207"/>
      <c r="J184" s="175"/>
    </row>
    <row r="185" spans="1:10" s="176" customFormat="1" x14ac:dyDescent="0.25">
      <c r="A185" s="188"/>
      <c r="B185" s="178"/>
      <c r="C185" s="185" t="s">
        <v>130</v>
      </c>
      <c r="D185" s="191">
        <f>SUM(D186:D187)</f>
        <v>249113200</v>
      </c>
      <c r="E185" s="191">
        <f t="shared" ref="E185:G185" si="93">SUM(E186:E187)</f>
        <v>0</v>
      </c>
      <c r="F185" s="191">
        <f t="shared" si="93"/>
        <v>0</v>
      </c>
      <c r="G185" s="191">
        <f t="shared" si="93"/>
        <v>0</v>
      </c>
      <c r="H185" s="236">
        <f t="shared" si="80"/>
        <v>0</v>
      </c>
      <c r="I185" s="207"/>
      <c r="J185" s="175"/>
    </row>
    <row r="186" spans="1:10" s="176" customFormat="1" x14ac:dyDescent="0.25">
      <c r="A186" s="188"/>
      <c r="B186" s="178"/>
      <c r="C186" s="171" t="s">
        <v>117</v>
      </c>
      <c r="D186" s="192">
        <v>554500</v>
      </c>
      <c r="E186" s="192">
        <f>'Realisasi Januari'!G186</f>
        <v>0</v>
      </c>
      <c r="F186" s="192"/>
      <c r="G186" s="192">
        <f>E186+F186</f>
        <v>0</v>
      </c>
      <c r="H186" s="24">
        <f t="shared" si="80"/>
        <v>0</v>
      </c>
      <c r="I186" s="207"/>
      <c r="J186" s="175"/>
    </row>
    <row r="187" spans="1:10" s="176" customFormat="1" x14ac:dyDescent="0.25">
      <c r="A187" s="188"/>
      <c r="B187" s="178"/>
      <c r="C187" s="171" t="s">
        <v>118</v>
      </c>
      <c r="D187" s="192">
        <v>248558700</v>
      </c>
      <c r="E187" s="192">
        <f>'Realisasi Januari'!G187</f>
        <v>0</v>
      </c>
      <c r="F187" s="192"/>
      <c r="G187" s="192">
        <f>E187+F187</f>
        <v>0</v>
      </c>
      <c r="H187" s="24">
        <f t="shared" si="80"/>
        <v>0</v>
      </c>
      <c r="I187" s="207"/>
      <c r="J187" s="175"/>
    </row>
    <row r="188" spans="1:10" s="176" customFormat="1" x14ac:dyDescent="0.25">
      <c r="A188" s="188"/>
      <c r="B188" s="178"/>
      <c r="C188" s="185" t="s">
        <v>131</v>
      </c>
      <c r="D188" s="191">
        <f>SUM(D189:D190)</f>
        <v>90525000</v>
      </c>
      <c r="E188" s="191">
        <f t="shared" ref="E188:G188" si="94">SUM(E189:E190)</f>
        <v>0</v>
      </c>
      <c r="F188" s="191">
        <f t="shared" si="94"/>
        <v>0</v>
      </c>
      <c r="G188" s="191">
        <f t="shared" si="94"/>
        <v>0</v>
      </c>
      <c r="H188" s="236">
        <f t="shared" si="80"/>
        <v>0</v>
      </c>
      <c r="I188" s="207"/>
      <c r="J188" s="175"/>
    </row>
    <row r="189" spans="1:10" s="176" customFormat="1" x14ac:dyDescent="0.25">
      <c r="A189" s="188"/>
      <c r="B189" s="178"/>
      <c r="C189" s="171" t="s">
        <v>117</v>
      </c>
      <c r="D189" s="192">
        <v>525000</v>
      </c>
      <c r="E189" s="192">
        <f>'Realisasi Januari'!G189</f>
        <v>0</v>
      </c>
      <c r="F189" s="192"/>
      <c r="G189" s="192">
        <f>E189+F189</f>
        <v>0</v>
      </c>
      <c r="H189" s="24">
        <f t="shared" si="80"/>
        <v>0</v>
      </c>
      <c r="I189" s="207"/>
      <c r="J189" s="175"/>
    </row>
    <row r="190" spans="1:10" s="176" customFormat="1" x14ac:dyDescent="0.25">
      <c r="A190" s="188"/>
      <c r="B190" s="178"/>
      <c r="C190" s="171" t="s">
        <v>118</v>
      </c>
      <c r="D190" s="192">
        <v>90000000</v>
      </c>
      <c r="E190" s="192">
        <f>'Realisasi Januari'!G190</f>
        <v>0</v>
      </c>
      <c r="F190" s="192"/>
      <c r="G190" s="192">
        <f>E190+F190</f>
        <v>0</v>
      </c>
      <c r="H190" s="24">
        <f t="shared" si="80"/>
        <v>0</v>
      </c>
      <c r="I190" s="207"/>
      <c r="J190" s="175"/>
    </row>
    <row r="191" spans="1:10" s="176" customFormat="1" x14ac:dyDescent="0.25">
      <c r="A191" s="188"/>
      <c r="B191" s="178"/>
      <c r="C191" s="185" t="s">
        <v>132</v>
      </c>
      <c r="D191" s="191">
        <f>SUM(D192:D194)</f>
        <v>732799800</v>
      </c>
      <c r="E191" s="191">
        <f t="shared" ref="E191:G191" si="95">SUM(E192:E194)</f>
        <v>153890000</v>
      </c>
      <c r="F191" s="191">
        <f t="shared" si="95"/>
        <v>9325000</v>
      </c>
      <c r="G191" s="191">
        <f t="shared" si="95"/>
        <v>163215000</v>
      </c>
      <c r="H191" s="236">
        <f t="shared" si="80"/>
        <v>0.22272795380129742</v>
      </c>
      <c r="I191" s="207"/>
      <c r="J191" s="175"/>
    </row>
    <row r="192" spans="1:10" s="176" customFormat="1" x14ac:dyDescent="0.25">
      <c r="A192" s="188"/>
      <c r="B192" s="178"/>
      <c r="C192" s="171" t="s">
        <v>133</v>
      </c>
      <c r="D192" s="192">
        <v>0</v>
      </c>
      <c r="E192" s="192">
        <f>'Realisasi Januari'!G192</f>
        <v>0</v>
      </c>
      <c r="F192" s="192"/>
      <c r="G192" s="192">
        <f>E192+F192</f>
        <v>0</v>
      </c>
      <c r="H192" s="24"/>
      <c r="I192" s="207"/>
      <c r="J192" s="175"/>
    </row>
    <row r="193" spans="1:12" s="176" customFormat="1" x14ac:dyDescent="0.25">
      <c r="A193" s="188"/>
      <c r="B193" s="178"/>
      <c r="C193" s="171" t="s">
        <v>134</v>
      </c>
      <c r="D193" s="192">
        <v>28000000</v>
      </c>
      <c r="E193" s="192">
        <f>'Realisasi Januari'!G193</f>
        <v>12200000</v>
      </c>
      <c r="F193" s="192">
        <v>9000000</v>
      </c>
      <c r="G193" s="192">
        <f t="shared" ref="G193:G194" si="96">E193+F193</f>
        <v>21200000</v>
      </c>
      <c r="H193" s="24">
        <f>G193/D193</f>
        <v>0.75714285714285712</v>
      </c>
      <c r="I193" s="207" t="s">
        <v>135</v>
      </c>
      <c r="J193" s="175"/>
    </row>
    <row r="194" spans="1:12" s="176" customFormat="1" x14ac:dyDescent="0.25">
      <c r="A194" s="188"/>
      <c r="B194" s="178"/>
      <c r="C194" s="171" t="s">
        <v>136</v>
      </c>
      <c r="D194" s="192">
        <v>704799800</v>
      </c>
      <c r="E194" s="192">
        <f>'Realisasi Januari'!G194</f>
        <v>141690000</v>
      </c>
      <c r="F194" s="192">
        <v>325000</v>
      </c>
      <c r="G194" s="192">
        <f t="shared" si="96"/>
        <v>142015000</v>
      </c>
      <c r="H194" s="24">
        <f>G194/D194</f>
        <v>0.20149693572557767</v>
      </c>
      <c r="I194" s="207"/>
      <c r="J194" s="175"/>
    </row>
    <row r="195" spans="1:12" s="176" customFormat="1" x14ac:dyDescent="0.25">
      <c r="A195" s="188"/>
      <c r="B195" s="178"/>
      <c r="C195" s="185" t="s">
        <v>137</v>
      </c>
      <c r="D195" s="191">
        <f>SUM(D196:D197)</f>
        <v>187800000</v>
      </c>
      <c r="E195" s="191">
        <f t="shared" ref="E195:G195" si="97">SUM(E196:E197)</f>
        <v>21449269</v>
      </c>
      <c r="F195" s="191">
        <f t="shared" si="97"/>
        <v>4979194</v>
      </c>
      <c r="G195" s="191">
        <f t="shared" si="97"/>
        <v>26428463</v>
      </c>
      <c r="H195" s="236">
        <f>G195/D195</f>
        <v>0.14072664004259852</v>
      </c>
      <c r="I195" s="207"/>
      <c r="J195" s="175"/>
    </row>
    <row r="196" spans="1:12" s="176" customFormat="1" x14ac:dyDescent="0.25">
      <c r="A196" s="188"/>
      <c r="B196" s="178"/>
      <c r="C196" s="171" t="s">
        <v>138</v>
      </c>
      <c r="D196" s="192">
        <v>133800000</v>
      </c>
      <c r="E196" s="192">
        <f>'Realisasi Januari'!G196</f>
        <v>21449269</v>
      </c>
      <c r="F196" s="192">
        <v>4979194</v>
      </c>
      <c r="G196" s="192">
        <f>E196+F196</f>
        <v>26428463</v>
      </c>
      <c r="H196" s="24">
        <f>G196/D196</f>
        <v>0.19752214499252616</v>
      </c>
      <c r="I196" s="207" t="s">
        <v>139</v>
      </c>
      <c r="J196" s="175"/>
    </row>
    <row r="197" spans="1:12" s="176" customFormat="1" x14ac:dyDescent="0.25">
      <c r="A197" s="188"/>
      <c r="B197" s="178"/>
      <c r="C197" s="171" t="s">
        <v>140</v>
      </c>
      <c r="D197" s="192">
        <v>54000000</v>
      </c>
      <c r="E197" s="192">
        <f>'Realisasi Januari'!G197</f>
        <v>0</v>
      </c>
      <c r="F197" s="192"/>
      <c r="G197" s="192">
        <f>E197+F197</f>
        <v>0</v>
      </c>
      <c r="H197" s="24">
        <f>G197/D197</f>
        <v>0</v>
      </c>
      <c r="I197" s="207"/>
      <c r="J197" s="175"/>
    </row>
    <row r="198" spans="1:12" s="176" customFormat="1" x14ac:dyDescent="0.25">
      <c r="A198" s="188"/>
      <c r="B198" s="178"/>
      <c r="C198" s="171"/>
      <c r="D198" s="192"/>
      <c r="E198" s="192"/>
      <c r="F198" s="192"/>
      <c r="G198" s="191"/>
      <c r="H198" s="236"/>
      <c r="I198" s="207"/>
      <c r="J198" s="175"/>
    </row>
    <row r="199" spans="1:12" s="176" customFormat="1" x14ac:dyDescent="0.25">
      <c r="A199" s="168" t="s">
        <v>452</v>
      </c>
      <c r="B199" s="22" t="s">
        <v>306</v>
      </c>
      <c r="C199" s="185" t="s">
        <v>75</v>
      </c>
      <c r="D199" s="191">
        <f>SUM(D200)</f>
        <v>14496560466</v>
      </c>
      <c r="E199" s="191">
        <f t="shared" ref="E199:F199" si="98">SUM(E200)</f>
        <v>1091894056.5</v>
      </c>
      <c r="F199" s="191">
        <f t="shared" si="98"/>
        <v>1094936034.49</v>
      </c>
      <c r="G199" s="191">
        <f t="shared" ref="G199" si="99">SUM(G200)</f>
        <v>2186830090.9900002</v>
      </c>
      <c r="H199" s="236">
        <f t="shared" ref="H199:H211" si="100">G199/D199</f>
        <v>0.15085165175001039</v>
      </c>
      <c r="I199" s="207" t="s">
        <v>141</v>
      </c>
      <c r="J199" s="175"/>
    </row>
    <row r="200" spans="1:12" s="176" customFormat="1" x14ac:dyDescent="0.25">
      <c r="A200" s="188"/>
      <c r="B200" s="189" t="s">
        <v>340</v>
      </c>
      <c r="C200" s="185" t="s">
        <v>341</v>
      </c>
      <c r="D200" s="191">
        <f>D201</f>
        <v>14496560466</v>
      </c>
      <c r="E200" s="191">
        <f>E201</f>
        <v>1091894056.5</v>
      </c>
      <c r="F200" s="191">
        <f t="shared" ref="F200:G200" si="101">F201</f>
        <v>1094936034.49</v>
      </c>
      <c r="G200" s="191">
        <f t="shared" si="101"/>
        <v>2186830090.9900002</v>
      </c>
      <c r="H200" s="236">
        <f t="shared" si="100"/>
        <v>0.15085165175001039</v>
      </c>
      <c r="I200" s="207" t="s">
        <v>143</v>
      </c>
      <c r="J200" s="294"/>
      <c r="K200" s="295"/>
      <c r="L200" s="295"/>
    </row>
    <row r="201" spans="1:12" s="176" customFormat="1" x14ac:dyDescent="0.25">
      <c r="A201" s="188"/>
      <c r="B201" s="178"/>
      <c r="C201" s="172" t="s">
        <v>142</v>
      </c>
      <c r="D201" s="191">
        <f>SUM(D202:D211)</f>
        <v>14496560466</v>
      </c>
      <c r="E201" s="191">
        <f>SUM(E202:E211)</f>
        <v>1091894056.5</v>
      </c>
      <c r="F201" s="191">
        <f t="shared" ref="F201:G201" si="102">SUM(F202:F211)</f>
        <v>1094936034.49</v>
      </c>
      <c r="G201" s="191">
        <f t="shared" si="102"/>
        <v>2186830090.9900002</v>
      </c>
      <c r="H201" s="236">
        <f t="shared" si="100"/>
        <v>0.15085165175001039</v>
      </c>
      <c r="I201" s="207"/>
      <c r="J201" s="294"/>
      <c r="K201" s="295"/>
      <c r="L201" s="295"/>
    </row>
    <row r="202" spans="1:12" s="176" customFormat="1" x14ac:dyDescent="0.25">
      <c r="A202" s="188"/>
      <c r="B202" s="178"/>
      <c r="C202" s="171" t="s">
        <v>144</v>
      </c>
      <c r="D202" s="192">
        <v>1873243500</v>
      </c>
      <c r="E202" s="192">
        <f>'Realisasi Januari'!G202</f>
        <v>124189648.40000001</v>
      </c>
      <c r="F202" s="192">
        <v>123608803.31999999</v>
      </c>
      <c r="G202" s="192">
        <f>E202+F202</f>
        <v>247798451.72</v>
      </c>
      <c r="H202" s="24">
        <f t="shared" si="100"/>
        <v>0.13228309705598873</v>
      </c>
      <c r="I202" s="207" t="s">
        <v>145</v>
      </c>
      <c r="J202" s="294"/>
      <c r="K202" s="296"/>
      <c r="L202" s="295"/>
    </row>
    <row r="203" spans="1:12" s="176" customFormat="1" x14ac:dyDescent="0.25">
      <c r="A203" s="188"/>
      <c r="B203" s="178"/>
      <c r="C203" s="171" t="s">
        <v>146</v>
      </c>
      <c r="D203" s="192">
        <v>1100000000</v>
      </c>
      <c r="E203" s="192">
        <f>'Realisasi Januari'!G203</f>
        <v>70086444.879999995</v>
      </c>
      <c r="F203" s="192">
        <v>80476724.069999993</v>
      </c>
      <c r="G203" s="192">
        <f t="shared" ref="G203:G211" si="103">E203+F203</f>
        <v>150563168.94999999</v>
      </c>
      <c r="H203" s="24">
        <f t="shared" si="100"/>
        <v>0.13687560813636362</v>
      </c>
      <c r="I203" s="207"/>
      <c r="J203" s="294"/>
      <c r="K203" s="296"/>
      <c r="L203" s="295"/>
    </row>
    <row r="204" spans="1:12" s="176" customFormat="1" x14ac:dyDescent="0.25">
      <c r="A204" s="188"/>
      <c r="B204" s="178"/>
      <c r="C204" s="171" t="s">
        <v>147</v>
      </c>
      <c r="D204" s="192">
        <v>1400000000</v>
      </c>
      <c r="E204" s="192">
        <f>'Realisasi Januari'!G204</f>
        <v>88690856.390000001</v>
      </c>
      <c r="F204" s="192">
        <v>96934359.870000005</v>
      </c>
      <c r="G204" s="192">
        <f t="shared" si="103"/>
        <v>185625216.25999999</v>
      </c>
      <c r="H204" s="24">
        <f t="shared" si="100"/>
        <v>0.13258944018571428</v>
      </c>
      <c r="I204" s="207" t="s">
        <v>148</v>
      </c>
      <c r="J204" s="294"/>
      <c r="K204" s="296"/>
      <c r="L204" s="295"/>
    </row>
    <row r="205" spans="1:12" s="176" customFormat="1" x14ac:dyDescent="0.25">
      <c r="A205" s="188"/>
      <c r="B205" s="178"/>
      <c r="C205" s="171" t="s">
        <v>149</v>
      </c>
      <c r="D205" s="192">
        <v>2361598960</v>
      </c>
      <c r="E205" s="192">
        <f>'Realisasi Januari'!G205</f>
        <v>188492684.31</v>
      </c>
      <c r="F205" s="192">
        <v>185278639.50999999</v>
      </c>
      <c r="G205" s="192">
        <f t="shared" si="103"/>
        <v>373771323.81999999</v>
      </c>
      <c r="H205" s="24">
        <f t="shared" si="100"/>
        <v>0.15827044733285281</v>
      </c>
      <c r="I205" s="207" t="s">
        <v>150</v>
      </c>
      <c r="J205" s="294"/>
      <c r="K205" s="296"/>
      <c r="L205" s="295"/>
    </row>
    <row r="206" spans="1:12" s="176" customFormat="1" x14ac:dyDescent="0.25">
      <c r="A206" s="188"/>
      <c r="B206" s="178"/>
      <c r="C206" s="171" t="s">
        <v>151</v>
      </c>
      <c r="D206" s="192">
        <v>922500000</v>
      </c>
      <c r="E206" s="192">
        <f>'Realisasi Januari'!G206</f>
        <v>72318052.959999993</v>
      </c>
      <c r="F206" s="181">
        <v>70518534.939999998</v>
      </c>
      <c r="G206" s="192">
        <f t="shared" si="103"/>
        <v>142836587.89999998</v>
      </c>
      <c r="H206" s="24">
        <f t="shared" si="100"/>
        <v>0.15483640964769646</v>
      </c>
      <c r="I206" s="207" t="s">
        <v>152</v>
      </c>
      <c r="J206" s="294"/>
      <c r="K206" s="296"/>
      <c r="L206" s="295"/>
    </row>
    <row r="207" spans="1:12" s="176" customFormat="1" x14ac:dyDescent="0.25">
      <c r="A207" s="188"/>
      <c r="B207" s="178"/>
      <c r="C207" s="171" t="s">
        <v>153</v>
      </c>
      <c r="D207" s="192">
        <v>1105404000</v>
      </c>
      <c r="E207" s="192">
        <f>'Realisasi Januari'!G207</f>
        <v>95513425.219999999</v>
      </c>
      <c r="F207" s="192">
        <v>86919004.549999997</v>
      </c>
      <c r="G207" s="192">
        <f t="shared" si="103"/>
        <v>182432429.76999998</v>
      </c>
      <c r="H207" s="24">
        <f t="shared" si="100"/>
        <v>0.16503688223491139</v>
      </c>
      <c r="I207" s="207"/>
      <c r="J207" s="294"/>
      <c r="K207" s="296"/>
      <c r="L207" s="295"/>
    </row>
    <row r="208" spans="1:12" s="176" customFormat="1" x14ac:dyDescent="0.25">
      <c r="A208" s="188"/>
      <c r="B208" s="178"/>
      <c r="C208" s="171" t="s">
        <v>154</v>
      </c>
      <c r="D208" s="192">
        <v>551536356</v>
      </c>
      <c r="E208" s="192">
        <f>'Realisasi Januari'!G208</f>
        <v>48059511.649999999</v>
      </c>
      <c r="F208" s="181">
        <v>50170380.780000001</v>
      </c>
      <c r="G208" s="192">
        <f t="shared" si="103"/>
        <v>98229892.430000007</v>
      </c>
      <c r="H208" s="24">
        <f t="shared" si="100"/>
        <v>0.17810229799248267</v>
      </c>
      <c r="I208" s="207" t="s">
        <v>155</v>
      </c>
      <c r="J208" s="294"/>
      <c r="K208" s="296"/>
      <c r="L208" s="295"/>
    </row>
    <row r="209" spans="1:12" s="176" customFormat="1" x14ac:dyDescent="0.25">
      <c r="A209" s="188"/>
      <c r="B209" s="178"/>
      <c r="C209" s="171" t="s">
        <v>156</v>
      </c>
      <c r="D209" s="192">
        <v>2380000000</v>
      </c>
      <c r="E209" s="192">
        <f>'Realisasi Januari'!G209</f>
        <v>189637493.72999999</v>
      </c>
      <c r="F209" s="181">
        <v>193603287.71000001</v>
      </c>
      <c r="G209" s="192">
        <f t="shared" si="103"/>
        <v>383240781.44</v>
      </c>
      <c r="H209" s="24">
        <f t="shared" si="100"/>
        <v>0.16102553842016806</v>
      </c>
      <c r="I209" s="207" t="s">
        <v>157</v>
      </c>
      <c r="J209" s="294"/>
      <c r="K209" s="296"/>
      <c r="L209" s="295"/>
    </row>
    <row r="210" spans="1:12" s="176" customFormat="1" x14ac:dyDescent="0.25">
      <c r="A210" s="188"/>
      <c r="B210" s="178"/>
      <c r="C210" s="171" t="s">
        <v>158</v>
      </c>
      <c r="D210" s="192">
        <v>1048195000</v>
      </c>
      <c r="E210" s="192">
        <f>'Realisasi Januari'!G210</f>
        <v>94995092.159999996</v>
      </c>
      <c r="F210" s="192">
        <v>82247752.900000006</v>
      </c>
      <c r="G210" s="192">
        <f t="shared" si="103"/>
        <v>177242845.06</v>
      </c>
      <c r="H210" s="24">
        <f t="shared" si="100"/>
        <v>0.16909338916900005</v>
      </c>
      <c r="I210" s="207" t="s">
        <v>159</v>
      </c>
      <c r="J210" s="294"/>
      <c r="K210" s="296"/>
      <c r="L210" s="295"/>
    </row>
    <row r="211" spans="1:12" s="176" customFormat="1" x14ac:dyDescent="0.25">
      <c r="A211" s="188"/>
      <c r="B211" s="178"/>
      <c r="C211" s="171" t="s">
        <v>160</v>
      </c>
      <c r="D211" s="192">
        <v>1754082650</v>
      </c>
      <c r="E211" s="192">
        <f>'Realisasi Januari'!G211</f>
        <v>119910846.8</v>
      </c>
      <c r="F211" s="192">
        <v>125178546.84</v>
      </c>
      <c r="G211" s="192">
        <f t="shared" si="103"/>
        <v>245089393.63999999</v>
      </c>
      <c r="H211" s="24">
        <f t="shared" si="100"/>
        <v>0.13972511137944382</v>
      </c>
      <c r="I211" s="207" t="s">
        <v>161</v>
      </c>
      <c r="J211" s="294"/>
      <c r="K211" s="296"/>
      <c r="L211" s="295"/>
    </row>
    <row r="212" spans="1:12" s="176" customFormat="1" x14ac:dyDescent="0.25">
      <c r="A212" s="188"/>
      <c r="B212" s="178"/>
      <c r="C212" s="171"/>
      <c r="D212" s="192"/>
      <c r="E212" s="192"/>
      <c r="F212" s="192"/>
      <c r="G212" s="192"/>
      <c r="H212" s="24"/>
      <c r="I212" s="207"/>
      <c r="J212" s="294"/>
      <c r="K212" s="295"/>
      <c r="L212" s="295"/>
    </row>
    <row r="213" spans="1:12" s="176" customFormat="1" x14ac:dyDescent="0.25">
      <c r="A213" s="168" t="s">
        <v>591</v>
      </c>
      <c r="B213" s="22" t="s">
        <v>306</v>
      </c>
      <c r="C213" s="185" t="s">
        <v>75</v>
      </c>
      <c r="D213" s="196">
        <f t="shared" ref="D213:G216" si="104">D214</f>
        <v>167200000</v>
      </c>
      <c r="E213" s="196">
        <f t="shared" si="104"/>
        <v>11562112</v>
      </c>
      <c r="F213" s="196">
        <f t="shared" si="104"/>
        <v>1645948</v>
      </c>
      <c r="G213" s="196">
        <f t="shared" si="104"/>
        <v>13208060</v>
      </c>
      <c r="H213" s="236">
        <f>G213/D213</f>
        <v>7.8995574162679424E-2</v>
      </c>
      <c r="I213" s="209"/>
      <c r="J213" s="294"/>
      <c r="K213" s="295"/>
      <c r="L213" s="295"/>
    </row>
    <row r="214" spans="1:12" s="176" customFormat="1" x14ac:dyDescent="0.25">
      <c r="A214" s="188"/>
      <c r="B214" s="189" t="s">
        <v>340</v>
      </c>
      <c r="C214" s="185" t="s">
        <v>341</v>
      </c>
      <c r="D214" s="196">
        <f t="shared" si="104"/>
        <v>167200000</v>
      </c>
      <c r="E214" s="196">
        <f t="shared" si="104"/>
        <v>11562112</v>
      </c>
      <c r="F214" s="196">
        <f t="shared" si="104"/>
        <v>1645948</v>
      </c>
      <c r="G214" s="196">
        <f t="shared" si="104"/>
        <v>13208060</v>
      </c>
      <c r="H214" s="236">
        <f>G214/D214</f>
        <v>7.8995574162679424E-2</v>
      </c>
      <c r="I214" s="209"/>
      <c r="J214" s="294"/>
      <c r="K214" s="295"/>
      <c r="L214" s="295"/>
    </row>
    <row r="215" spans="1:12" s="176" customFormat="1" x14ac:dyDescent="0.25">
      <c r="A215" s="188"/>
      <c r="B215" s="22"/>
      <c r="C215" s="185" t="s">
        <v>76</v>
      </c>
      <c r="D215" s="196">
        <f t="shared" si="104"/>
        <v>167200000</v>
      </c>
      <c r="E215" s="196">
        <f t="shared" si="104"/>
        <v>11562112</v>
      </c>
      <c r="F215" s="196">
        <f t="shared" si="104"/>
        <v>1645948</v>
      </c>
      <c r="G215" s="196">
        <f t="shared" si="104"/>
        <v>13208060</v>
      </c>
      <c r="H215" s="236">
        <f>G215/D215</f>
        <v>7.8995574162679424E-2</v>
      </c>
      <c r="I215" s="209"/>
      <c r="J215" s="294"/>
      <c r="K215" s="295"/>
      <c r="L215" s="295"/>
    </row>
    <row r="216" spans="1:12" s="176" customFormat="1" x14ac:dyDescent="0.25">
      <c r="A216" s="188"/>
      <c r="B216" s="178"/>
      <c r="C216" s="183" t="s">
        <v>77</v>
      </c>
      <c r="D216" s="191">
        <f t="shared" si="104"/>
        <v>167200000</v>
      </c>
      <c r="E216" s="191">
        <f t="shared" si="104"/>
        <v>11562112</v>
      </c>
      <c r="F216" s="191">
        <f t="shared" si="104"/>
        <v>1645948</v>
      </c>
      <c r="G216" s="191">
        <f t="shared" si="104"/>
        <v>13208060</v>
      </c>
      <c r="H216" s="236">
        <f>G216/D216</f>
        <v>7.8995574162679424E-2</v>
      </c>
      <c r="I216" s="207"/>
      <c r="J216" s="294"/>
      <c r="K216" s="295"/>
      <c r="L216" s="295"/>
    </row>
    <row r="217" spans="1:12" s="176" customFormat="1" x14ac:dyDescent="0.25">
      <c r="A217" s="182"/>
      <c r="B217" s="177" t="s">
        <v>79</v>
      </c>
      <c r="C217" s="183" t="s">
        <v>80</v>
      </c>
      <c r="D217" s="192">
        <v>167200000</v>
      </c>
      <c r="E217" s="192">
        <f>'Realisasi Januari'!G217</f>
        <v>11562112</v>
      </c>
      <c r="F217" s="192">
        <v>1645948</v>
      </c>
      <c r="G217" s="192">
        <f>E217+F217</f>
        <v>13208060</v>
      </c>
      <c r="H217" s="24">
        <f>G217/D217</f>
        <v>7.8995574162679424E-2</v>
      </c>
      <c r="I217" s="207" t="s">
        <v>78</v>
      </c>
      <c r="J217" s="294"/>
      <c r="K217" s="295"/>
      <c r="L217" s="295"/>
    </row>
    <row r="218" spans="1:12" s="176" customFormat="1" x14ac:dyDescent="0.25">
      <c r="A218" s="182"/>
      <c r="B218" s="177"/>
      <c r="C218" s="183"/>
      <c r="D218" s="192"/>
      <c r="E218" s="192"/>
      <c r="F218" s="192"/>
      <c r="G218" s="191"/>
      <c r="H218" s="24"/>
      <c r="I218" s="207"/>
      <c r="J218" s="294"/>
      <c r="K218" s="295"/>
      <c r="L218" s="295"/>
    </row>
    <row r="219" spans="1:12" s="187" customFormat="1" x14ac:dyDescent="0.25">
      <c r="A219" s="165" t="s">
        <v>627</v>
      </c>
      <c r="B219" s="179" t="s">
        <v>446</v>
      </c>
      <c r="C219" s="180" t="s">
        <v>447</v>
      </c>
      <c r="D219" s="191">
        <f>D220</f>
        <v>0</v>
      </c>
      <c r="E219" s="191"/>
      <c r="F219" s="191">
        <f>F220</f>
        <v>0</v>
      </c>
      <c r="G219" s="191">
        <f>G220</f>
        <v>0</v>
      </c>
      <c r="H219" s="236" t="e">
        <f>G219/D219</f>
        <v>#DIV/0!</v>
      </c>
      <c r="I219" s="216"/>
      <c r="J219" s="186"/>
    </row>
    <row r="220" spans="1:12" s="187" customFormat="1" x14ac:dyDescent="0.25">
      <c r="A220" s="254"/>
      <c r="B220" s="179" t="s">
        <v>448</v>
      </c>
      <c r="C220" s="180" t="s">
        <v>449</v>
      </c>
      <c r="D220" s="191">
        <f>SUM(D221:D223)</f>
        <v>0</v>
      </c>
      <c r="E220" s="191"/>
      <c r="F220" s="191">
        <f>SUM(F221:F223)</f>
        <v>0</v>
      </c>
      <c r="G220" s="191">
        <f>SUM(G221:G223)</f>
        <v>0</v>
      </c>
      <c r="H220" s="236" t="e">
        <f>G220/D220</f>
        <v>#DIV/0!</v>
      </c>
      <c r="I220" s="216"/>
      <c r="J220" s="186"/>
    </row>
    <row r="221" spans="1:12" s="176" customFormat="1" x14ac:dyDescent="0.25">
      <c r="A221" s="182"/>
      <c r="B221" s="178"/>
      <c r="C221" s="193" t="s">
        <v>450</v>
      </c>
      <c r="D221" s="192">
        <v>0</v>
      </c>
      <c r="E221" s="192"/>
      <c r="F221" s="192"/>
      <c r="G221" s="192">
        <f>E221+F221</f>
        <v>0</v>
      </c>
      <c r="H221" s="252" t="e">
        <f>G221/D221</f>
        <v>#DIV/0!</v>
      </c>
      <c r="I221" s="207"/>
      <c r="J221" s="175"/>
    </row>
    <row r="222" spans="1:12" s="176" customFormat="1" x14ac:dyDescent="0.25">
      <c r="A222" s="182"/>
      <c r="B222" s="178"/>
      <c r="C222" s="193" t="s">
        <v>451</v>
      </c>
      <c r="D222" s="192">
        <v>0</v>
      </c>
      <c r="E222" s="192"/>
      <c r="F222" s="192"/>
      <c r="G222" s="192">
        <f>E222+F222</f>
        <v>0</v>
      </c>
      <c r="H222" s="252" t="e">
        <f>G222/D222</f>
        <v>#DIV/0!</v>
      </c>
      <c r="I222" s="207"/>
      <c r="J222" s="175"/>
    </row>
    <row r="223" spans="1:12" s="176" customFormat="1" x14ac:dyDescent="0.25">
      <c r="A223" s="182"/>
      <c r="B223" s="178"/>
      <c r="C223" s="193"/>
      <c r="D223" s="192"/>
      <c r="E223" s="192"/>
      <c r="F223" s="192"/>
      <c r="G223" s="192"/>
      <c r="H223" s="252"/>
      <c r="I223" s="207"/>
      <c r="J223" s="175"/>
    </row>
    <row r="224" spans="1:12" s="176" customFormat="1" x14ac:dyDescent="0.25">
      <c r="A224" s="182"/>
      <c r="B224" s="36"/>
      <c r="C224" s="37"/>
      <c r="D224" s="192"/>
      <c r="E224" s="192"/>
      <c r="F224" s="192"/>
      <c r="G224" s="191"/>
      <c r="H224" s="236"/>
      <c r="I224" s="222"/>
      <c r="J224" s="175"/>
    </row>
    <row r="225" spans="1:11" s="176" customFormat="1" ht="24.75" customHeight="1" x14ac:dyDescent="0.25">
      <c r="A225" s="126" t="s">
        <v>163</v>
      </c>
      <c r="B225" s="128" t="s">
        <v>164</v>
      </c>
      <c r="C225" s="41" t="s">
        <v>268</v>
      </c>
      <c r="D225" s="42">
        <f>SUM(D226+D415)</f>
        <v>748486409081</v>
      </c>
      <c r="E225" s="42">
        <f>SUM(E226+E415)</f>
        <v>71197087100</v>
      </c>
      <c r="F225" s="42">
        <f>SUM(F226+F415)</f>
        <v>53932742800</v>
      </c>
      <c r="G225" s="42">
        <f>SUM(G226+G415)</f>
        <v>125129829900</v>
      </c>
      <c r="H225" s="237">
        <f t="shared" ref="H225:H230" si="105">G225/D225</f>
        <v>0.16717715696886976</v>
      </c>
      <c r="I225" s="223"/>
      <c r="J225" s="175"/>
      <c r="K225" s="270"/>
    </row>
    <row r="226" spans="1:11" s="176" customFormat="1" x14ac:dyDescent="0.25">
      <c r="A226" s="134" t="s">
        <v>416</v>
      </c>
      <c r="B226" s="135" t="s">
        <v>350</v>
      </c>
      <c r="C226" s="136" t="s">
        <v>351</v>
      </c>
      <c r="D226" s="137">
        <f>SUM(D227+D408)</f>
        <v>643257080000</v>
      </c>
      <c r="E226" s="137">
        <f>SUM(E227+E408)</f>
        <v>71197087100</v>
      </c>
      <c r="F226" s="137">
        <f>SUM(F227+F408)</f>
        <v>53932742800</v>
      </c>
      <c r="G226" s="137">
        <f>SUM(G227+G408)</f>
        <v>125129829900</v>
      </c>
      <c r="H226" s="238">
        <f t="shared" si="105"/>
        <v>0.1945253830707934</v>
      </c>
      <c r="I226" s="223"/>
      <c r="J226" s="175"/>
    </row>
    <row r="227" spans="1:11" s="176" customFormat="1" x14ac:dyDescent="0.25">
      <c r="A227" s="123" t="s">
        <v>89</v>
      </c>
      <c r="B227" s="133" t="s">
        <v>352</v>
      </c>
      <c r="C227" s="124" t="s">
        <v>165</v>
      </c>
      <c r="D227" s="125">
        <f>SUM(D228+D293+D295+D363)</f>
        <v>643257080000</v>
      </c>
      <c r="E227" s="125">
        <f>SUM(E228+E293+E295+E363)</f>
        <v>71197087100</v>
      </c>
      <c r="F227" s="125">
        <f>SUM(F228+F293+F295+F363)</f>
        <v>53932742800</v>
      </c>
      <c r="G227" s="125">
        <f>SUM(G228+G293+G295+G363)</f>
        <v>125129829900</v>
      </c>
      <c r="H227" s="239">
        <f t="shared" si="105"/>
        <v>0.1945253830707934</v>
      </c>
      <c r="I227" s="223"/>
      <c r="J227" s="175"/>
      <c r="K227" s="270"/>
    </row>
    <row r="228" spans="1:11" s="176" customFormat="1" x14ac:dyDescent="0.25">
      <c r="A228" s="138" t="s">
        <v>166</v>
      </c>
      <c r="B228" s="139" t="s">
        <v>353</v>
      </c>
      <c r="C228" s="140" t="s">
        <v>354</v>
      </c>
      <c r="D228" s="141">
        <f>SUM(D229+D260+D264+D268+D272+D276+D280+D285+D288)</f>
        <v>154499794000</v>
      </c>
      <c r="E228" s="141">
        <f>SUM(E229+E260+E264+E268+E272+E276+E280+E285+E288)</f>
        <v>588547100</v>
      </c>
      <c r="F228" s="141">
        <f>SUM(F229+F260+F264+F268+F272+F276+F280+F285+F288)</f>
        <v>18136572800</v>
      </c>
      <c r="G228" s="141">
        <f>G229+G260+G264+G268+G272+G276+G280+G288</f>
        <v>18725119900</v>
      </c>
      <c r="H228" s="240">
        <f t="shared" si="105"/>
        <v>0.12119834865281438</v>
      </c>
      <c r="I228" s="224"/>
      <c r="J228" s="175"/>
      <c r="K228" s="270"/>
    </row>
    <row r="229" spans="1:11" s="187" customFormat="1" x14ac:dyDescent="0.25">
      <c r="A229" s="184" t="s">
        <v>406</v>
      </c>
      <c r="B229" s="189" t="s">
        <v>355</v>
      </c>
      <c r="C229" s="185" t="s">
        <v>356</v>
      </c>
      <c r="D229" s="196">
        <f>D230+D240</f>
        <v>25228962000</v>
      </c>
      <c r="E229" s="196">
        <f t="shared" ref="E229:G229" si="106">E230+E240</f>
        <v>0</v>
      </c>
      <c r="F229" s="196">
        <f t="shared" si="106"/>
        <v>0</v>
      </c>
      <c r="G229" s="196">
        <f t="shared" si="106"/>
        <v>0</v>
      </c>
      <c r="H229" s="236">
        <f t="shared" si="105"/>
        <v>0</v>
      </c>
      <c r="I229" s="225" t="s">
        <v>167</v>
      </c>
      <c r="J229" s="186"/>
    </row>
    <row r="230" spans="1:11" s="187" customFormat="1" x14ac:dyDescent="0.25">
      <c r="A230" s="184"/>
      <c r="B230" s="189"/>
      <c r="C230" s="185" t="s">
        <v>633</v>
      </c>
      <c r="D230" s="196">
        <v>25228962000</v>
      </c>
      <c r="E230" s="196"/>
      <c r="F230" s="196">
        <f t="shared" ref="F230:G230" si="107">SUM(F231:F239)</f>
        <v>0</v>
      </c>
      <c r="G230" s="196">
        <f t="shared" si="107"/>
        <v>0</v>
      </c>
      <c r="H230" s="236">
        <f t="shared" si="105"/>
        <v>0</v>
      </c>
      <c r="I230" s="225"/>
      <c r="J230" s="186"/>
    </row>
    <row r="231" spans="1:11" s="187" customFormat="1" x14ac:dyDescent="0.25">
      <c r="A231" s="184"/>
      <c r="B231" s="190"/>
      <c r="C231" s="193" t="s">
        <v>453</v>
      </c>
      <c r="D231" s="181"/>
      <c r="E231" s="181"/>
      <c r="F231" s="181"/>
      <c r="G231" s="192">
        <f>E231+F231</f>
        <v>0</v>
      </c>
      <c r="H231" s="24"/>
      <c r="I231" s="225"/>
      <c r="J231" s="186"/>
    </row>
    <row r="232" spans="1:11" s="187" customFormat="1" x14ac:dyDescent="0.25">
      <c r="A232" s="184"/>
      <c r="B232" s="190"/>
      <c r="C232" s="193" t="s">
        <v>454</v>
      </c>
      <c r="D232" s="181"/>
      <c r="E232" s="181"/>
      <c r="F232" s="181"/>
      <c r="G232" s="192">
        <f t="shared" ref="G232:G239" si="108">E232+F232</f>
        <v>0</v>
      </c>
      <c r="H232" s="24"/>
      <c r="I232" s="225"/>
      <c r="J232" s="186"/>
    </row>
    <row r="233" spans="1:11" s="187" customFormat="1" x14ac:dyDescent="0.25">
      <c r="A233" s="184"/>
      <c r="B233" s="190"/>
      <c r="C233" s="193" t="s">
        <v>455</v>
      </c>
      <c r="D233" s="181"/>
      <c r="E233" s="181"/>
      <c r="F233" s="181"/>
      <c r="G233" s="192">
        <f t="shared" si="108"/>
        <v>0</v>
      </c>
      <c r="H233" s="24"/>
      <c r="I233" s="225"/>
      <c r="J233" s="186"/>
    </row>
    <row r="234" spans="1:11" s="187" customFormat="1" x14ac:dyDescent="0.25">
      <c r="A234" s="184"/>
      <c r="B234" s="190"/>
      <c r="C234" s="193" t="s">
        <v>456</v>
      </c>
      <c r="D234" s="181"/>
      <c r="E234" s="181"/>
      <c r="F234" s="181"/>
      <c r="G234" s="192">
        <f t="shared" si="108"/>
        <v>0</v>
      </c>
      <c r="H234" s="24"/>
      <c r="I234" s="225"/>
      <c r="J234" s="186"/>
    </row>
    <row r="235" spans="1:11" s="187" customFormat="1" x14ac:dyDescent="0.25">
      <c r="A235" s="184"/>
      <c r="B235" s="190"/>
      <c r="C235" s="193" t="s">
        <v>457</v>
      </c>
      <c r="D235" s="181"/>
      <c r="E235" s="181"/>
      <c r="F235" s="181"/>
      <c r="G235" s="192">
        <f t="shared" si="108"/>
        <v>0</v>
      </c>
      <c r="H235" s="24"/>
      <c r="I235" s="225"/>
      <c r="J235" s="186"/>
    </row>
    <row r="236" spans="1:11" s="187" customFormat="1" x14ac:dyDescent="0.25">
      <c r="A236" s="184"/>
      <c r="B236" s="190"/>
      <c r="C236" s="193" t="s">
        <v>458</v>
      </c>
      <c r="D236" s="181"/>
      <c r="E236" s="181"/>
      <c r="F236" s="181"/>
      <c r="G236" s="192">
        <f t="shared" si="108"/>
        <v>0</v>
      </c>
      <c r="H236" s="24"/>
      <c r="I236" s="225"/>
      <c r="J236" s="186"/>
    </row>
    <row r="237" spans="1:11" s="187" customFormat="1" x14ac:dyDescent="0.25">
      <c r="A237" s="184"/>
      <c r="B237" s="190"/>
      <c r="C237" s="193" t="s">
        <v>459</v>
      </c>
      <c r="D237" s="181"/>
      <c r="E237" s="181"/>
      <c r="F237" s="181"/>
      <c r="G237" s="192">
        <f t="shared" si="108"/>
        <v>0</v>
      </c>
      <c r="H237" s="24"/>
      <c r="I237" s="225"/>
      <c r="J237" s="186"/>
    </row>
    <row r="238" spans="1:11" s="187" customFormat="1" x14ac:dyDescent="0.25">
      <c r="A238" s="184"/>
      <c r="B238" s="190"/>
      <c r="C238" s="193" t="s">
        <v>460</v>
      </c>
      <c r="D238" s="181"/>
      <c r="E238" s="181"/>
      <c r="F238" s="181"/>
      <c r="G238" s="192">
        <f t="shared" si="108"/>
        <v>0</v>
      </c>
      <c r="H238" s="24"/>
      <c r="I238" s="225"/>
      <c r="J238" s="186"/>
    </row>
    <row r="239" spans="1:11" s="187" customFormat="1" x14ac:dyDescent="0.25">
      <c r="A239" s="184"/>
      <c r="B239" s="190"/>
      <c r="C239" s="193" t="s">
        <v>461</v>
      </c>
      <c r="D239" s="181"/>
      <c r="E239" s="181"/>
      <c r="F239" s="181"/>
      <c r="G239" s="192">
        <f t="shared" si="108"/>
        <v>0</v>
      </c>
      <c r="H239" s="24"/>
      <c r="I239" s="225"/>
      <c r="J239" s="186"/>
    </row>
    <row r="240" spans="1:11" s="187" customFormat="1" x14ac:dyDescent="0.25">
      <c r="A240" s="184"/>
      <c r="B240" s="190"/>
      <c r="C240" s="35" t="s">
        <v>519</v>
      </c>
      <c r="D240" s="196">
        <f>SUM(D241:D258)</f>
        <v>0</v>
      </c>
      <c r="E240" s="196">
        <f t="shared" ref="E240:G240" si="109">SUM(E241:E258)</f>
        <v>0</v>
      </c>
      <c r="F240" s="196">
        <f t="shared" si="109"/>
        <v>0</v>
      </c>
      <c r="G240" s="196">
        <f t="shared" si="109"/>
        <v>0</v>
      </c>
      <c r="H240" s="236" t="e">
        <f t="shared" ref="H240:H258" si="110">G240/D240</f>
        <v>#DIV/0!</v>
      </c>
      <c r="I240" s="225"/>
      <c r="J240" s="186"/>
    </row>
    <row r="241" spans="1:10" s="187" customFormat="1" x14ac:dyDescent="0.25">
      <c r="A241" s="184"/>
      <c r="B241" s="190"/>
      <c r="C241" s="193" t="s">
        <v>521</v>
      </c>
      <c r="D241" s="181"/>
      <c r="E241" s="181"/>
      <c r="F241" s="181"/>
      <c r="G241" s="192">
        <f>E241+F241</f>
        <v>0</v>
      </c>
      <c r="H241" s="24" t="e">
        <f t="shared" si="110"/>
        <v>#DIV/0!</v>
      </c>
      <c r="I241" s="225"/>
      <c r="J241" s="186"/>
    </row>
    <row r="242" spans="1:10" s="187" customFormat="1" x14ac:dyDescent="0.25">
      <c r="A242" s="184"/>
      <c r="B242" s="190"/>
      <c r="C242" s="193" t="s">
        <v>520</v>
      </c>
      <c r="D242" s="181"/>
      <c r="E242" s="181"/>
      <c r="F242" s="181"/>
      <c r="G242" s="192">
        <f t="shared" ref="G242:G258" si="111">E242+F242</f>
        <v>0</v>
      </c>
      <c r="H242" s="24" t="e">
        <f t="shared" si="110"/>
        <v>#DIV/0!</v>
      </c>
      <c r="I242" s="225"/>
      <c r="J242" s="186"/>
    </row>
    <row r="243" spans="1:10" s="187" customFormat="1" x14ac:dyDescent="0.25">
      <c r="A243" s="184"/>
      <c r="B243" s="190"/>
      <c r="C243" s="193" t="s">
        <v>522</v>
      </c>
      <c r="D243" s="181"/>
      <c r="E243" s="181"/>
      <c r="F243" s="181"/>
      <c r="G243" s="192">
        <f t="shared" si="111"/>
        <v>0</v>
      </c>
      <c r="H243" s="24" t="e">
        <f t="shared" si="110"/>
        <v>#DIV/0!</v>
      </c>
      <c r="I243" s="225"/>
      <c r="J243" s="186"/>
    </row>
    <row r="244" spans="1:10" s="187" customFormat="1" x14ac:dyDescent="0.25">
      <c r="A244" s="184"/>
      <c r="B244" s="190"/>
      <c r="C244" s="193" t="s">
        <v>523</v>
      </c>
      <c r="D244" s="181"/>
      <c r="E244" s="181"/>
      <c r="F244" s="181"/>
      <c r="G244" s="192">
        <f t="shared" si="111"/>
        <v>0</v>
      </c>
      <c r="H244" s="24" t="e">
        <f t="shared" si="110"/>
        <v>#DIV/0!</v>
      </c>
      <c r="I244" s="225"/>
      <c r="J244" s="186"/>
    </row>
    <row r="245" spans="1:10" s="187" customFormat="1" x14ac:dyDescent="0.25">
      <c r="A245" s="184"/>
      <c r="B245" s="190"/>
      <c r="C245" s="193" t="s">
        <v>524</v>
      </c>
      <c r="D245" s="181"/>
      <c r="E245" s="181"/>
      <c r="F245" s="181"/>
      <c r="G245" s="192">
        <f t="shared" si="111"/>
        <v>0</v>
      </c>
      <c r="H245" s="24" t="e">
        <f t="shared" si="110"/>
        <v>#DIV/0!</v>
      </c>
      <c r="I245" s="225"/>
      <c r="J245" s="186"/>
    </row>
    <row r="246" spans="1:10" s="187" customFormat="1" x14ac:dyDescent="0.25">
      <c r="A246" s="184"/>
      <c r="B246" s="190"/>
      <c r="C246" s="193" t="s">
        <v>525</v>
      </c>
      <c r="D246" s="181"/>
      <c r="E246" s="181"/>
      <c r="F246" s="181"/>
      <c r="G246" s="192">
        <f t="shared" si="111"/>
        <v>0</v>
      </c>
      <c r="H246" s="24" t="e">
        <f t="shared" si="110"/>
        <v>#DIV/0!</v>
      </c>
      <c r="I246" s="225"/>
      <c r="J246" s="186"/>
    </row>
    <row r="247" spans="1:10" s="187" customFormat="1" x14ac:dyDescent="0.25">
      <c r="A247" s="184"/>
      <c r="B247" s="190"/>
      <c r="C247" s="193" t="s">
        <v>526</v>
      </c>
      <c r="D247" s="181"/>
      <c r="E247" s="181"/>
      <c r="F247" s="181"/>
      <c r="G247" s="192">
        <f t="shared" si="111"/>
        <v>0</v>
      </c>
      <c r="H247" s="24" t="e">
        <f t="shared" si="110"/>
        <v>#DIV/0!</v>
      </c>
      <c r="I247" s="225"/>
      <c r="J247" s="186"/>
    </row>
    <row r="248" spans="1:10" s="187" customFormat="1" x14ac:dyDescent="0.25">
      <c r="A248" s="184"/>
      <c r="B248" s="190"/>
      <c r="C248" s="193" t="s">
        <v>527</v>
      </c>
      <c r="D248" s="181"/>
      <c r="E248" s="181"/>
      <c r="F248" s="181"/>
      <c r="G248" s="192">
        <f t="shared" si="111"/>
        <v>0</v>
      </c>
      <c r="H248" s="24" t="e">
        <f t="shared" si="110"/>
        <v>#DIV/0!</v>
      </c>
      <c r="I248" s="225"/>
      <c r="J248" s="186"/>
    </row>
    <row r="249" spans="1:10" s="187" customFormat="1" x14ac:dyDescent="0.25">
      <c r="A249" s="184"/>
      <c r="B249" s="190"/>
      <c r="C249" s="193" t="s">
        <v>528</v>
      </c>
      <c r="D249" s="181"/>
      <c r="E249" s="181"/>
      <c r="F249" s="181"/>
      <c r="G249" s="192">
        <f t="shared" si="111"/>
        <v>0</v>
      </c>
      <c r="H249" s="24" t="e">
        <f t="shared" si="110"/>
        <v>#DIV/0!</v>
      </c>
      <c r="I249" s="225"/>
      <c r="J249" s="186"/>
    </row>
    <row r="250" spans="1:10" s="187" customFormat="1" x14ac:dyDescent="0.25">
      <c r="A250" s="184"/>
      <c r="B250" s="190"/>
      <c r="C250" s="193" t="s">
        <v>567</v>
      </c>
      <c r="D250" s="181"/>
      <c r="E250" s="181"/>
      <c r="F250" s="181"/>
      <c r="G250" s="192">
        <f t="shared" si="111"/>
        <v>0</v>
      </c>
      <c r="H250" s="24" t="e">
        <f t="shared" si="110"/>
        <v>#DIV/0!</v>
      </c>
      <c r="I250" s="225"/>
      <c r="J250" s="186"/>
    </row>
    <row r="251" spans="1:10" s="187" customFormat="1" x14ac:dyDescent="0.25">
      <c r="A251" s="184"/>
      <c r="B251" s="190"/>
      <c r="C251" s="193" t="s">
        <v>568</v>
      </c>
      <c r="D251" s="181"/>
      <c r="E251" s="181"/>
      <c r="F251" s="181"/>
      <c r="G251" s="192">
        <f t="shared" si="111"/>
        <v>0</v>
      </c>
      <c r="H251" s="24" t="e">
        <f t="shared" si="110"/>
        <v>#DIV/0!</v>
      </c>
      <c r="I251" s="225"/>
      <c r="J251" s="186"/>
    </row>
    <row r="252" spans="1:10" s="187" customFormat="1" x14ac:dyDescent="0.25">
      <c r="A252" s="184"/>
      <c r="B252" s="190"/>
      <c r="C252" s="193" t="s">
        <v>569</v>
      </c>
      <c r="D252" s="181"/>
      <c r="E252" s="181"/>
      <c r="F252" s="181"/>
      <c r="G252" s="192">
        <f t="shared" si="111"/>
        <v>0</v>
      </c>
      <c r="H252" s="24" t="e">
        <f t="shared" si="110"/>
        <v>#DIV/0!</v>
      </c>
      <c r="I252" s="225"/>
      <c r="J252" s="186"/>
    </row>
    <row r="253" spans="1:10" s="187" customFormat="1" x14ac:dyDescent="0.25">
      <c r="A253" s="184"/>
      <c r="B253" s="190"/>
      <c r="C253" s="193" t="s">
        <v>570</v>
      </c>
      <c r="D253" s="181"/>
      <c r="E253" s="181"/>
      <c r="F253" s="181"/>
      <c r="G253" s="192">
        <f t="shared" si="111"/>
        <v>0</v>
      </c>
      <c r="H253" s="24" t="e">
        <f t="shared" si="110"/>
        <v>#DIV/0!</v>
      </c>
      <c r="I253" s="225"/>
      <c r="J253" s="186"/>
    </row>
    <row r="254" spans="1:10" s="187" customFormat="1" x14ac:dyDescent="0.25">
      <c r="A254" s="184"/>
      <c r="B254" s="190"/>
      <c r="C254" s="193" t="s">
        <v>571</v>
      </c>
      <c r="D254" s="181"/>
      <c r="E254" s="181"/>
      <c r="F254" s="181"/>
      <c r="G254" s="192">
        <f t="shared" si="111"/>
        <v>0</v>
      </c>
      <c r="H254" s="24" t="e">
        <f t="shared" si="110"/>
        <v>#DIV/0!</v>
      </c>
      <c r="I254" s="225"/>
      <c r="J254" s="186"/>
    </row>
    <row r="255" spans="1:10" s="187" customFormat="1" x14ac:dyDescent="0.25">
      <c r="A255" s="184"/>
      <c r="B255" s="190"/>
      <c r="C255" s="193" t="s">
        <v>572</v>
      </c>
      <c r="D255" s="181"/>
      <c r="E255" s="181"/>
      <c r="F255" s="181"/>
      <c r="G255" s="192">
        <f t="shared" si="111"/>
        <v>0</v>
      </c>
      <c r="H255" s="24" t="e">
        <f t="shared" si="110"/>
        <v>#DIV/0!</v>
      </c>
      <c r="I255" s="225"/>
      <c r="J255" s="186"/>
    </row>
    <row r="256" spans="1:10" s="187" customFormat="1" x14ac:dyDescent="0.25">
      <c r="A256" s="184"/>
      <c r="B256" s="190"/>
      <c r="C256" s="193" t="s">
        <v>573</v>
      </c>
      <c r="D256" s="181"/>
      <c r="E256" s="181"/>
      <c r="F256" s="181"/>
      <c r="G256" s="192">
        <f t="shared" si="111"/>
        <v>0</v>
      </c>
      <c r="H256" s="24" t="e">
        <f t="shared" si="110"/>
        <v>#DIV/0!</v>
      </c>
      <c r="I256" s="225"/>
      <c r="J256" s="186"/>
    </row>
    <row r="257" spans="1:10" s="187" customFormat="1" x14ac:dyDescent="0.25">
      <c r="A257" s="184"/>
      <c r="B257" s="190"/>
      <c r="C257" s="193" t="s">
        <v>574</v>
      </c>
      <c r="D257" s="181"/>
      <c r="E257" s="181"/>
      <c r="F257" s="181"/>
      <c r="G257" s="192">
        <f t="shared" si="111"/>
        <v>0</v>
      </c>
      <c r="H257" s="24" t="e">
        <f t="shared" si="110"/>
        <v>#DIV/0!</v>
      </c>
      <c r="I257" s="225"/>
      <c r="J257" s="186"/>
    </row>
    <row r="258" spans="1:10" s="187" customFormat="1" x14ac:dyDescent="0.25">
      <c r="A258" s="184"/>
      <c r="B258" s="190"/>
      <c r="C258" s="193" t="s">
        <v>575</v>
      </c>
      <c r="D258" s="181"/>
      <c r="E258" s="181"/>
      <c r="F258" s="181"/>
      <c r="G258" s="192">
        <f t="shared" si="111"/>
        <v>0</v>
      </c>
      <c r="H258" s="24" t="e">
        <f t="shared" si="110"/>
        <v>#DIV/0!</v>
      </c>
      <c r="I258" s="225"/>
      <c r="J258" s="186"/>
    </row>
    <row r="259" spans="1:10" s="187" customFormat="1" x14ac:dyDescent="0.25">
      <c r="A259" s="184"/>
      <c r="B259" s="190"/>
      <c r="C259" s="183"/>
      <c r="D259" s="181"/>
      <c r="E259" s="181"/>
      <c r="F259" s="181"/>
      <c r="G259" s="192"/>
      <c r="H259" s="24"/>
      <c r="I259" s="225"/>
      <c r="J259" s="186"/>
    </row>
    <row r="260" spans="1:10" s="187" customFormat="1" x14ac:dyDescent="0.25">
      <c r="A260" s="184" t="s">
        <v>407</v>
      </c>
      <c r="B260" s="189" t="s">
        <v>357</v>
      </c>
      <c r="C260" s="185" t="s">
        <v>358</v>
      </c>
      <c r="D260" s="191">
        <v>26768038000</v>
      </c>
      <c r="E260" s="191"/>
      <c r="F260" s="191">
        <f>SUM(F261:F262)</f>
        <v>0</v>
      </c>
      <c r="G260" s="191">
        <f>SUM(G261:G262)</f>
        <v>0</v>
      </c>
      <c r="H260" s="236">
        <f>G260/D260</f>
        <v>0</v>
      </c>
      <c r="I260" s="225" t="s">
        <v>167</v>
      </c>
      <c r="J260" s="186"/>
    </row>
    <row r="261" spans="1:10" s="187" customFormat="1" x14ac:dyDescent="0.25">
      <c r="A261" s="184"/>
      <c r="B261" s="190"/>
      <c r="C261" s="193" t="s">
        <v>650</v>
      </c>
      <c r="D261" s="192"/>
      <c r="E261" s="192"/>
      <c r="F261" s="192"/>
      <c r="G261" s="192">
        <f>E261+F261</f>
        <v>0</v>
      </c>
      <c r="H261" s="24" t="e">
        <f>G261/D261</f>
        <v>#DIV/0!</v>
      </c>
      <c r="I261" s="225"/>
      <c r="J261" s="186"/>
    </row>
    <row r="262" spans="1:10" s="187" customFormat="1" x14ac:dyDescent="0.25">
      <c r="A262" s="184"/>
      <c r="B262" s="190"/>
      <c r="C262" s="193" t="s">
        <v>651</v>
      </c>
      <c r="D262" s="192"/>
      <c r="E262" s="192"/>
      <c r="F262" s="192"/>
      <c r="G262" s="192">
        <f t="shared" ref="G262" si="112">E262+F262</f>
        <v>0</v>
      </c>
      <c r="H262" s="24" t="e">
        <f>G262/D262</f>
        <v>#DIV/0!</v>
      </c>
      <c r="I262" s="225"/>
      <c r="J262" s="186"/>
    </row>
    <row r="263" spans="1:10" s="187" customFormat="1" x14ac:dyDescent="0.25">
      <c r="A263" s="184"/>
      <c r="B263" s="190"/>
      <c r="C263" s="183"/>
      <c r="D263" s="192"/>
      <c r="E263" s="192"/>
      <c r="F263" s="192"/>
      <c r="G263" s="192"/>
      <c r="H263" s="24"/>
      <c r="I263" s="225"/>
      <c r="J263" s="186"/>
    </row>
    <row r="264" spans="1:10" s="187" customFormat="1" x14ac:dyDescent="0.25">
      <c r="A264" s="184" t="s">
        <v>408</v>
      </c>
      <c r="B264" s="189" t="s">
        <v>359</v>
      </c>
      <c r="C264" s="185" t="s">
        <v>360</v>
      </c>
      <c r="D264" s="191">
        <f>SUM(D265:D266)</f>
        <v>0</v>
      </c>
      <c r="E264" s="191">
        <f>SUM(E265:E266)</f>
        <v>0</v>
      </c>
      <c r="F264" s="191">
        <f>SUM(F265:F266)</f>
        <v>0</v>
      </c>
      <c r="G264" s="191">
        <f>SUM(G265:G266)</f>
        <v>0</v>
      </c>
      <c r="H264" s="236" t="e">
        <f>G264/D264</f>
        <v>#DIV/0!</v>
      </c>
      <c r="I264" s="225" t="s">
        <v>167</v>
      </c>
      <c r="J264" s="186"/>
    </row>
    <row r="265" spans="1:10" s="187" customFormat="1" x14ac:dyDescent="0.25">
      <c r="A265" s="184"/>
      <c r="B265" s="190"/>
      <c r="C265" s="193" t="s">
        <v>652</v>
      </c>
      <c r="D265" s="192"/>
      <c r="E265" s="192"/>
      <c r="F265" s="192"/>
      <c r="G265" s="192">
        <f>E265+F265</f>
        <v>0</v>
      </c>
      <c r="H265" s="24" t="e">
        <f>G265/D265</f>
        <v>#DIV/0!</v>
      </c>
      <c r="I265" s="225"/>
      <c r="J265" s="186"/>
    </row>
    <row r="266" spans="1:10" s="187" customFormat="1" x14ac:dyDescent="0.25">
      <c r="A266" s="184"/>
      <c r="B266" s="190"/>
      <c r="C266" s="193" t="s">
        <v>653</v>
      </c>
      <c r="D266" s="192"/>
      <c r="E266" s="192"/>
      <c r="F266" s="192"/>
      <c r="G266" s="192">
        <f t="shared" ref="G266" si="113">E266+F266</f>
        <v>0</v>
      </c>
      <c r="H266" s="24" t="e">
        <f>G266/D266</f>
        <v>#DIV/0!</v>
      </c>
      <c r="I266" s="225"/>
      <c r="J266" s="186"/>
    </row>
    <row r="267" spans="1:10" s="187" customFormat="1" x14ac:dyDescent="0.25">
      <c r="A267" s="184"/>
      <c r="B267" s="190"/>
      <c r="C267" s="183"/>
      <c r="D267" s="192"/>
      <c r="E267" s="192"/>
      <c r="F267" s="192"/>
      <c r="G267" s="192"/>
      <c r="H267" s="24"/>
      <c r="I267" s="225"/>
      <c r="J267" s="186"/>
    </row>
    <row r="268" spans="1:10" s="187" customFormat="1" x14ac:dyDescent="0.25">
      <c r="A268" s="184" t="s">
        <v>409</v>
      </c>
      <c r="B268" s="189" t="s">
        <v>405</v>
      </c>
      <c r="C268" s="185" t="s">
        <v>361</v>
      </c>
      <c r="D268" s="191">
        <v>90682864000</v>
      </c>
      <c r="E268" s="191"/>
      <c r="F268" s="191">
        <f>SUM(F269:F270)</f>
        <v>17367192400</v>
      </c>
      <c r="G268" s="191">
        <f>SUM(G269:G270)</f>
        <v>17367192400</v>
      </c>
      <c r="H268" s="236">
        <f>G268/D268</f>
        <v>0.19151570245950766</v>
      </c>
      <c r="I268" s="225" t="s">
        <v>167</v>
      </c>
      <c r="J268" s="186"/>
    </row>
    <row r="269" spans="1:10" s="187" customFormat="1" x14ac:dyDescent="0.25">
      <c r="A269" s="184"/>
      <c r="B269" s="190"/>
      <c r="C269" s="193" t="s">
        <v>654</v>
      </c>
      <c r="D269" s="192"/>
      <c r="E269" s="192"/>
      <c r="F269" s="192">
        <f>16806960400+560232000</f>
        <v>17367192400</v>
      </c>
      <c r="G269" s="192">
        <f>E269+F269</f>
        <v>17367192400</v>
      </c>
      <c r="H269" s="24" t="e">
        <f>G269/D269</f>
        <v>#DIV/0!</v>
      </c>
      <c r="I269" s="225"/>
      <c r="J269" s="186"/>
    </row>
    <row r="270" spans="1:10" s="187" customFormat="1" x14ac:dyDescent="0.25">
      <c r="A270" s="184"/>
      <c r="B270" s="190"/>
      <c r="C270" s="193" t="s">
        <v>655</v>
      </c>
      <c r="D270" s="192"/>
      <c r="E270" s="192"/>
      <c r="F270" s="192"/>
      <c r="G270" s="192">
        <f t="shared" ref="G270" si="114">E270+F270</f>
        <v>0</v>
      </c>
      <c r="H270" s="24" t="e">
        <f>G270/D270</f>
        <v>#DIV/0!</v>
      </c>
      <c r="I270" s="225"/>
      <c r="J270" s="186"/>
    </row>
    <row r="271" spans="1:10" s="187" customFormat="1" x14ac:dyDescent="0.25">
      <c r="A271" s="184"/>
      <c r="B271" s="190"/>
      <c r="C271" s="193"/>
      <c r="D271" s="192"/>
      <c r="E271" s="192"/>
      <c r="F271" s="192"/>
      <c r="G271" s="192"/>
      <c r="H271" s="24"/>
      <c r="I271" s="225"/>
      <c r="J271" s="186"/>
    </row>
    <row r="272" spans="1:10" s="187" customFormat="1" x14ac:dyDescent="0.25">
      <c r="A272" s="188" t="s">
        <v>410</v>
      </c>
      <c r="B272" s="189" t="s">
        <v>462</v>
      </c>
      <c r="C272" s="185" t="s">
        <v>463</v>
      </c>
      <c r="D272" s="191">
        <f>SUM(D273:D274)</f>
        <v>0</v>
      </c>
      <c r="E272" s="191"/>
      <c r="F272" s="191">
        <f t="shared" ref="F272:G272" si="115">SUM(F273:F274)</f>
        <v>769380400</v>
      </c>
      <c r="G272" s="191">
        <f t="shared" si="115"/>
        <v>769380400</v>
      </c>
      <c r="H272" s="236" t="e">
        <f>G272/D272</f>
        <v>#DIV/0!</v>
      </c>
      <c r="I272" s="225"/>
      <c r="J272" s="186"/>
    </row>
    <row r="273" spans="1:10" s="187" customFormat="1" x14ac:dyDescent="0.25">
      <c r="A273" s="188"/>
      <c r="B273" s="190"/>
      <c r="C273" s="193" t="s">
        <v>656</v>
      </c>
      <c r="D273" s="192">
        <v>0</v>
      </c>
      <c r="E273" s="192"/>
      <c r="F273" s="192">
        <f>756767600+12612800</f>
        <v>769380400</v>
      </c>
      <c r="G273" s="192">
        <f>E273+F273</f>
        <v>769380400</v>
      </c>
      <c r="H273" s="24" t="e">
        <f>G273/D273</f>
        <v>#DIV/0!</v>
      </c>
      <c r="I273" s="225"/>
      <c r="J273" s="186"/>
    </row>
    <row r="274" spans="1:10" s="187" customFormat="1" x14ac:dyDescent="0.25">
      <c r="A274" s="188"/>
      <c r="B274" s="190"/>
      <c r="C274" s="193" t="s">
        <v>657</v>
      </c>
      <c r="D274" s="192"/>
      <c r="E274" s="192"/>
      <c r="F274" s="192"/>
      <c r="G274" s="192">
        <f>E274+F274</f>
        <v>0</v>
      </c>
      <c r="H274" s="24" t="e">
        <f>G274/D274</f>
        <v>#DIV/0!</v>
      </c>
      <c r="I274" s="225"/>
      <c r="J274" s="186"/>
    </row>
    <row r="275" spans="1:10" s="187" customFormat="1" x14ac:dyDescent="0.25">
      <c r="A275" s="188"/>
      <c r="B275" s="190"/>
      <c r="C275" s="193"/>
      <c r="D275" s="192"/>
      <c r="E275" s="192"/>
      <c r="F275" s="192"/>
      <c r="G275" s="192"/>
      <c r="H275" s="24"/>
      <c r="I275" s="225"/>
      <c r="J275" s="186"/>
    </row>
    <row r="276" spans="1:10" s="187" customFormat="1" x14ac:dyDescent="0.25">
      <c r="A276" s="188" t="s">
        <v>411</v>
      </c>
      <c r="B276" s="189" t="s">
        <v>362</v>
      </c>
      <c r="C276" s="185" t="s">
        <v>363</v>
      </c>
      <c r="D276" s="191">
        <v>1503616000</v>
      </c>
      <c r="E276" s="191">
        <f>E277</f>
        <v>300723200</v>
      </c>
      <c r="F276" s="191">
        <f>F277</f>
        <v>0</v>
      </c>
      <c r="G276" s="191">
        <f t="shared" ref="G276" si="116">SUM(G277:G278)</f>
        <v>300723200</v>
      </c>
      <c r="H276" s="236">
        <f>G276/D276</f>
        <v>0.2</v>
      </c>
      <c r="I276" s="225" t="s">
        <v>167</v>
      </c>
      <c r="J276" s="186"/>
    </row>
    <row r="277" spans="1:10" s="187" customFormat="1" x14ac:dyDescent="0.25">
      <c r="A277" s="188"/>
      <c r="B277" s="190"/>
      <c r="C277" s="193" t="s">
        <v>658</v>
      </c>
      <c r="D277" s="192"/>
      <c r="E277" s="192">
        <f>'Realisasi Januari'!G277</f>
        <v>300723200</v>
      </c>
      <c r="F277" s="192">
        <v>0</v>
      </c>
      <c r="G277" s="192">
        <f>E277+F277</f>
        <v>300723200</v>
      </c>
      <c r="H277" s="24" t="e">
        <f>G277/D277</f>
        <v>#DIV/0!</v>
      </c>
      <c r="I277" s="225"/>
      <c r="J277" s="186"/>
    </row>
    <row r="278" spans="1:10" s="187" customFormat="1" x14ac:dyDescent="0.25">
      <c r="A278" s="188"/>
      <c r="B278" s="190"/>
      <c r="C278" s="193" t="s">
        <v>659</v>
      </c>
      <c r="D278" s="192"/>
      <c r="E278" s="192"/>
      <c r="F278" s="192"/>
      <c r="G278" s="192">
        <f>E278+F278</f>
        <v>0</v>
      </c>
      <c r="H278" s="24" t="e">
        <f>G278/D278</f>
        <v>#DIV/0!</v>
      </c>
      <c r="I278" s="225"/>
      <c r="J278" s="186"/>
    </row>
    <row r="279" spans="1:10" s="187" customFormat="1" x14ac:dyDescent="0.25">
      <c r="A279" s="188"/>
      <c r="B279" s="190"/>
      <c r="C279" s="193"/>
      <c r="D279" s="192"/>
      <c r="E279" s="192"/>
      <c r="F279" s="192"/>
      <c r="G279" s="192">
        <f t="shared" ref="G279" si="117">F279</f>
        <v>0</v>
      </c>
      <c r="H279" s="24"/>
      <c r="I279" s="225"/>
      <c r="J279" s="186"/>
    </row>
    <row r="280" spans="1:10" s="187" customFormat="1" x14ac:dyDescent="0.25">
      <c r="A280" s="188" t="s">
        <v>412</v>
      </c>
      <c r="B280" s="189" t="s">
        <v>364</v>
      </c>
      <c r="C280" s="185" t="s">
        <v>365</v>
      </c>
      <c r="D280" s="191">
        <v>8397488000</v>
      </c>
      <c r="E280" s="191"/>
      <c r="F280" s="191">
        <f t="shared" ref="F280:G280" si="118">F281+F282</f>
        <v>0</v>
      </c>
      <c r="G280" s="191">
        <f t="shared" si="118"/>
        <v>0</v>
      </c>
      <c r="H280" s="236">
        <f>G280/D280</f>
        <v>0</v>
      </c>
      <c r="I280" s="225" t="s">
        <v>167</v>
      </c>
      <c r="J280" s="186"/>
    </row>
    <row r="281" spans="1:10" s="187" customFormat="1" x14ac:dyDescent="0.25">
      <c r="A281" s="188"/>
      <c r="B281" s="190"/>
      <c r="C281" s="193" t="s">
        <v>660</v>
      </c>
      <c r="D281" s="192"/>
      <c r="E281" s="192"/>
      <c r="F281" s="192"/>
      <c r="G281" s="192">
        <f>F281</f>
        <v>0</v>
      </c>
      <c r="H281" s="24" t="e">
        <f>G281/D281</f>
        <v>#DIV/0!</v>
      </c>
      <c r="I281" s="225"/>
      <c r="J281" s="186"/>
    </row>
    <row r="282" spans="1:10" s="187" customFormat="1" x14ac:dyDescent="0.25">
      <c r="A282" s="188"/>
      <c r="B282" s="190"/>
      <c r="C282" s="35" t="s">
        <v>529</v>
      </c>
      <c r="D282" s="191">
        <f>SUM(D283:D283)</f>
        <v>0</v>
      </c>
      <c r="E282" s="191"/>
      <c r="F282" s="191">
        <f>SUM(F283:F283)</f>
        <v>0</v>
      </c>
      <c r="G282" s="191">
        <f>SUM(G283:G283)</f>
        <v>0</v>
      </c>
      <c r="H282" s="236" t="e">
        <f>G282/D282</f>
        <v>#DIV/0!</v>
      </c>
      <c r="I282" s="225"/>
      <c r="J282" s="186"/>
    </row>
    <row r="283" spans="1:10" s="187" customFormat="1" x14ac:dyDescent="0.25">
      <c r="A283" s="188"/>
      <c r="B283" s="190"/>
      <c r="C283" s="193" t="s">
        <v>661</v>
      </c>
      <c r="D283" s="192"/>
      <c r="E283" s="192"/>
      <c r="F283" s="192"/>
      <c r="G283" s="192">
        <f>F283</f>
        <v>0</v>
      </c>
      <c r="H283" s="24" t="e">
        <f>G283/D283</f>
        <v>#DIV/0!</v>
      </c>
      <c r="I283" s="225"/>
      <c r="J283" s="186"/>
    </row>
    <row r="284" spans="1:10" s="187" customFormat="1" x14ac:dyDescent="0.25">
      <c r="A284" s="188"/>
      <c r="B284" s="190"/>
      <c r="C284" s="193"/>
      <c r="D284" s="192"/>
      <c r="E284" s="192"/>
      <c r="F284" s="192"/>
      <c r="G284" s="192"/>
      <c r="H284" s="24"/>
      <c r="I284" s="225"/>
      <c r="J284" s="186"/>
    </row>
    <row r="285" spans="1:10" s="187" customFormat="1" hidden="1" x14ac:dyDescent="0.25">
      <c r="A285" s="188" t="s">
        <v>464</v>
      </c>
      <c r="B285" s="189" t="s">
        <v>466</v>
      </c>
      <c r="C285" s="185" t="s">
        <v>467</v>
      </c>
      <c r="D285" s="191">
        <f>SUM(D286)</f>
        <v>0</v>
      </c>
      <c r="E285" s="191"/>
      <c r="F285" s="191">
        <f t="shared" ref="F285:G285" si="119">SUM(F286:F287)</f>
        <v>0</v>
      </c>
      <c r="G285" s="191" t="e">
        <f t="shared" si="119"/>
        <v>#REF!</v>
      </c>
      <c r="H285" s="24"/>
      <c r="I285" s="225"/>
      <c r="J285" s="186"/>
    </row>
    <row r="286" spans="1:10" s="187" customFormat="1" hidden="1" x14ac:dyDescent="0.25">
      <c r="A286" s="188"/>
      <c r="B286" s="190"/>
      <c r="C286" s="193" t="s">
        <v>487</v>
      </c>
      <c r="D286" s="192">
        <v>0</v>
      </c>
      <c r="E286" s="192"/>
      <c r="F286" s="192">
        <v>0</v>
      </c>
      <c r="G286" s="192" t="e">
        <f>#REF!+F286</f>
        <v>#REF!</v>
      </c>
      <c r="H286" s="24"/>
      <c r="I286" s="225"/>
      <c r="J286" s="186"/>
    </row>
    <row r="287" spans="1:10" s="187" customFormat="1" hidden="1" x14ac:dyDescent="0.25">
      <c r="A287" s="188"/>
      <c r="B287" s="190"/>
      <c r="C287" s="193"/>
      <c r="D287" s="192"/>
      <c r="E287" s="192"/>
      <c r="F287" s="192"/>
      <c r="G287" s="192"/>
      <c r="H287" s="24"/>
      <c r="I287" s="225"/>
      <c r="J287" s="186"/>
    </row>
    <row r="288" spans="1:10" s="187" customFormat="1" x14ac:dyDescent="0.25">
      <c r="A288" s="188" t="s">
        <v>465</v>
      </c>
      <c r="B288" s="189" t="s">
        <v>366</v>
      </c>
      <c r="C288" s="185" t="s">
        <v>367</v>
      </c>
      <c r="D288" s="191">
        <v>1918826000</v>
      </c>
      <c r="E288" s="191">
        <f>E289</f>
        <v>287823900</v>
      </c>
      <c r="F288" s="191">
        <f t="shared" ref="F288:G288" si="120">F289+F290</f>
        <v>0</v>
      </c>
      <c r="G288" s="191">
        <f t="shared" si="120"/>
        <v>287823900</v>
      </c>
      <c r="H288" s="236">
        <f>G288/D288</f>
        <v>0.15</v>
      </c>
      <c r="I288" s="225" t="s">
        <v>167</v>
      </c>
      <c r="J288" s="186"/>
    </row>
    <row r="289" spans="1:10" s="187" customFormat="1" x14ac:dyDescent="0.25">
      <c r="A289" s="188"/>
      <c r="B289" s="190"/>
      <c r="C289" s="193" t="s">
        <v>662</v>
      </c>
      <c r="D289" s="192"/>
      <c r="E289" s="192">
        <f>'Realisasi Januari'!G289</f>
        <v>287823900</v>
      </c>
      <c r="F289" s="192"/>
      <c r="G289" s="192">
        <f>E289+F289</f>
        <v>287823900</v>
      </c>
      <c r="H289" s="24" t="e">
        <f>G289/D289</f>
        <v>#DIV/0!</v>
      </c>
      <c r="I289" s="225"/>
      <c r="J289" s="186"/>
    </row>
    <row r="290" spans="1:10" s="187" customFormat="1" x14ac:dyDescent="0.25">
      <c r="A290" s="188"/>
      <c r="B290" s="190"/>
      <c r="C290" s="35" t="s">
        <v>530</v>
      </c>
      <c r="D290" s="191">
        <f>SUM(D291:D291)</f>
        <v>0</v>
      </c>
      <c r="E290" s="191"/>
      <c r="F290" s="191">
        <f>SUM(F291:F291)</f>
        <v>0</v>
      </c>
      <c r="G290" s="191">
        <f>SUM(G291:G291)</f>
        <v>0</v>
      </c>
      <c r="H290" s="236" t="e">
        <f>G290/D290</f>
        <v>#DIV/0!</v>
      </c>
      <c r="I290" s="225"/>
      <c r="J290" s="186"/>
    </row>
    <row r="291" spans="1:10" s="187" customFormat="1" x14ac:dyDescent="0.25">
      <c r="A291" s="188"/>
      <c r="B291" s="190"/>
      <c r="C291" s="193" t="s">
        <v>663</v>
      </c>
      <c r="D291" s="192"/>
      <c r="E291" s="192"/>
      <c r="F291" s="192"/>
      <c r="G291" s="192">
        <f>E291+F291</f>
        <v>0</v>
      </c>
      <c r="H291" s="24" t="e">
        <f>G291/D291</f>
        <v>#DIV/0!</v>
      </c>
      <c r="I291" s="225"/>
      <c r="J291" s="186"/>
    </row>
    <row r="292" spans="1:10" s="176" customFormat="1" x14ac:dyDescent="0.25">
      <c r="A292" s="27"/>
      <c r="B292" s="178"/>
      <c r="C292" s="183"/>
      <c r="D292" s="192"/>
      <c r="E292" s="192"/>
      <c r="F292" s="192"/>
      <c r="G292" s="191"/>
      <c r="H292" s="236"/>
      <c r="I292" s="224"/>
      <c r="J292" s="175"/>
    </row>
    <row r="293" spans="1:10" s="176" customFormat="1" x14ac:dyDescent="0.25">
      <c r="A293" s="138" t="s">
        <v>169</v>
      </c>
      <c r="B293" s="139" t="s">
        <v>368</v>
      </c>
      <c r="C293" s="140" t="s">
        <v>369</v>
      </c>
      <c r="D293" s="142">
        <v>429554051000</v>
      </c>
      <c r="E293" s="142">
        <f>'Realisasi Januari'!G293</f>
        <v>70608540000</v>
      </c>
      <c r="F293" s="142">
        <v>35796170000</v>
      </c>
      <c r="G293" s="141">
        <f>E293+F293</f>
        <v>106404710000</v>
      </c>
      <c r="H293" s="240">
        <f>G293/D293</f>
        <v>0.24770971139089548</v>
      </c>
      <c r="I293" s="225" t="s">
        <v>468</v>
      </c>
      <c r="J293" s="175"/>
    </row>
    <row r="294" spans="1:10" s="176" customFormat="1" x14ac:dyDescent="0.25">
      <c r="A294" s="27"/>
      <c r="B294" s="178"/>
      <c r="C294" s="39"/>
      <c r="D294" s="38"/>
      <c r="E294" s="38"/>
      <c r="F294" s="38"/>
      <c r="G294" s="38"/>
      <c r="H294" s="241"/>
      <c r="I294" s="225"/>
      <c r="J294" s="175"/>
    </row>
    <row r="295" spans="1:10" s="176" customFormat="1" x14ac:dyDescent="0.25">
      <c r="A295" s="138" t="s">
        <v>170</v>
      </c>
      <c r="B295" s="139" t="s">
        <v>370</v>
      </c>
      <c r="C295" s="140" t="s">
        <v>371</v>
      </c>
      <c r="D295" s="141">
        <f>SUM(D297+D348+D325)</f>
        <v>7340205000</v>
      </c>
      <c r="E295" s="141">
        <f t="shared" ref="E295:G295" si="121">SUM(E297+E348+E325)</f>
        <v>0</v>
      </c>
      <c r="F295" s="141">
        <f t="shared" si="121"/>
        <v>0</v>
      </c>
      <c r="G295" s="141">
        <f t="shared" si="121"/>
        <v>0</v>
      </c>
      <c r="H295" s="240">
        <f>G295/D295</f>
        <v>0</v>
      </c>
      <c r="I295" s="225" t="s">
        <v>469</v>
      </c>
      <c r="J295" s="175"/>
    </row>
    <row r="296" spans="1:10" s="176" customFormat="1" x14ac:dyDescent="0.25">
      <c r="A296" s="40"/>
      <c r="B296" s="22"/>
      <c r="C296" s="185"/>
      <c r="D296" s="191"/>
      <c r="E296" s="191"/>
      <c r="F296" s="191"/>
      <c r="G296" s="191"/>
      <c r="H296" s="236"/>
      <c r="I296" s="224"/>
      <c r="J296" s="175"/>
    </row>
    <row r="297" spans="1:10" s="176" customFormat="1" ht="38.25" customHeight="1" x14ac:dyDescent="0.25">
      <c r="A297" s="293"/>
      <c r="B297" s="262" t="s">
        <v>413</v>
      </c>
      <c r="C297" s="41" t="s">
        <v>171</v>
      </c>
      <c r="D297" s="42">
        <f>SUM(D303+D309+D311+D313+D315+D317+D319+D298+D322)</f>
        <v>7340205000</v>
      </c>
      <c r="E297" s="42">
        <f t="shared" ref="E297:F297" si="122">SUM(E303+E309+E311+E313+E315+E317+E319+E298+E322)</f>
        <v>0</v>
      </c>
      <c r="F297" s="42">
        <f t="shared" si="122"/>
        <v>0</v>
      </c>
      <c r="G297" s="42">
        <f>G298+G303+G313+G315+G319+G322</f>
        <v>0</v>
      </c>
      <c r="H297" s="237">
        <f t="shared" ref="H297:H308" si="123">G297/D297</f>
        <v>0</v>
      </c>
      <c r="I297" s="225" t="s">
        <v>470</v>
      </c>
      <c r="J297" s="175"/>
    </row>
    <row r="298" spans="1:10" s="176" customFormat="1" x14ac:dyDescent="0.25">
      <c r="A298" s="40"/>
      <c r="B298" s="43">
        <v>1</v>
      </c>
      <c r="C298" s="185" t="s">
        <v>172</v>
      </c>
      <c r="D298" s="191">
        <f>SUM(D299:D302)</f>
        <v>0</v>
      </c>
      <c r="E298" s="191">
        <f t="shared" ref="E298:G298" si="124">SUM(E299:E302)</f>
        <v>0</v>
      </c>
      <c r="F298" s="191">
        <f t="shared" si="124"/>
        <v>0</v>
      </c>
      <c r="G298" s="191">
        <f t="shared" si="124"/>
        <v>0</v>
      </c>
      <c r="H298" s="236" t="e">
        <f t="shared" si="123"/>
        <v>#DIV/0!</v>
      </c>
      <c r="I298" s="225"/>
      <c r="J298" s="175"/>
    </row>
    <row r="299" spans="1:10" s="176" customFormat="1" x14ac:dyDescent="0.25">
      <c r="A299" s="40"/>
      <c r="B299" s="190" t="s">
        <v>531</v>
      </c>
      <c r="C299" s="193" t="s">
        <v>173</v>
      </c>
      <c r="D299" s="192"/>
      <c r="E299" s="192"/>
      <c r="F299" s="192"/>
      <c r="G299" s="192">
        <f>E299+F299</f>
        <v>0</v>
      </c>
      <c r="H299" s="24" t="e">
        <f t="shared" si="123"/>
        <v>#DIV/0!</v>
      </c>
      <c r="I299" s="225" t="s">
        <v>471</v>
      </c>
      <c r="J299" s="175"/>
    </row>
    <row r="300" spans="1:10" s="176" customFormat="1" x14ac:dyDescent="0.25">
      <c r="A300" s="40"/>
      <c r="B300" s="190" t="s">
        <v>532</v>
      </c>
      <c r="C300" s="193" t="s">
        <v>174</v>
      </c>
      <c r="D300" s="192"/>
      <c r="E300" s="192"/>
      <c r="F300" s="192"/>
      <c r="G300" s="192">
        <f t="shared" ref="G300:G302" si="125">E300+F300</f>
        <v>0</v>
      </c>
      <c r="H300" s="24" t="e">
        <f t="shared" si="123"/>
        <v>#DIV/0!</v>
      </c>
      <c r="I300" s="225" t="s">
        <v>471</v>
      </c>
      <c r="J300" s="175"/>
    </row>
    <row r="301" spans="1:10" s="176" customFormat="1" x14ac:dyDescent="0.25">
      <c r="A301" s="40"/>
      <c r="B301" s="190" t="s">
        <v>533</v>
      </c>
      <c r="C301" s="193" t="s">
        <v>175</v>
      </c>
      <c r="D301" s="192"/>
      <c r="E301" s="192"/>
      <c r="F301" s="192"/>
      <c r="G301" s="192">
        <f t="shared" si="125"/>
        <v>0</v>
      </c>
      <c r="H301" s="24" t="e">
        <f t="shared" si="123"/>
        <v>#DIV/0!</v>
      </c>
      <c r="I301" s="225" t="s">
        <v>471</v>
      </c>
      <c r="J301" s="175"/>
    </row>
    <row r="302" spans="1:10" s="176" customFormat="1" x14ac:dyDescent="0.25">
      <c r="A302" s="40"/>
      <c r="B302" s="190" t="s">
        <v>534</v>
      </c>
      <c r="C302" s="193" t="s">
        <v>176</v>
      </c>
      <c r="D302" s="192"/>
      <c r="E302" s="192"/>
      <c r="F302" s="192"/>
      <c r="G302" s="192">
        <f t="shared" si="125"/>
        <v>0</v>
      </c>
      <c r="H302" s="24" t="e">
        <f t="shared" si="123"/>
        <v>#DIV/0!</v>
      </c>
      <c r="I302" s="225" t="s">
        <v>471</v>
      </c>
      <c r="J302" s="175"/>
    </row>
    <row r="303" spans="1:10" s="176" customFormat="1" x14ac:dyDescent="0.25">
      <c r="A303" s="40"/>
      <c r="B303" s="43">
        <v>2</v>
      </c>
      <c r="C303" s="185" t="s">
        <v>177</v>
      </c>
      <c r="D303" s="191">
        <f>SUM(D304:D308)</f>
        <v>0</v>
      </c>
      <c r="E303" s="191">
        <f t="shared" ref="E303:G303" si="126">SUM(E304:E308)</f>
        <v>0</v>
      </c>
      <c r="F303" s="191">
        <f t="shared" si="126"/>
        <v>0</v>
      </c>
      <c r="G303" s="191">
        <f t="shared" si="126"/>
        <v>0</v>
      </c>
      <c r="H303" s="236" t="e">
        <f t="shared" si="123"/>
        <v>#DIV/0!</v>
      </c>
      <c r="I303" s="225"/>
      <c r="J303" s="175"/>
    </row>
    <row r="304" spans="1:10" s="176" customFormat="1" x14ac:dyDescent="0.25">
      <c r="A304" s="40"/>
      <c r="B304" s="190" t="s">
        <v>535</v>
      </c>
      <c r="C304" s="193" t="s">
        <v>178</v>
      </c>
      <c r="D304" s="192"/>
      <c r="E304" s="192"/>
      <c r="F304" s="192"/>
      <c r="G304" s="192">
        <f>E304+F304</f>
        <v>0</v>
      </c>
      <c r="H304" s="24" t="e">
        <f t="shared" si="123"/>
        <v>#DIV/0!</v>
      </c>
      <c r="I304" s="225" t="s">
        <v>471</v>
      </c>
      <c r="J304" s="175"/>
    </row>
    <row r="305" spans="1:10" s="176" customFormat="1" x14ac:dyDescent="0.25">
      <c r="A305" s="40"/>
      <c r="B305" s="190" t="s">
        <v>536</v>
      </c>
      <c r="C305" s="193" t="s">
        <v>372</v>
      </c>
      <c r="D305" s="192"/>
      <c r="E305" s="192"/>
      <c r="F305" s="192"/>
      <c r="G305" s="192">
        <f t="shared" ref="G305:G316" si="127">E305+F305</f>
        <v>0</v>
      </c>
      <c r="H305" s="24" t="e">
        <f t="shared" si="123"/>
        <v>#DIV/0!</v>
      </c>
      <c r="I305" s="225" t="s">
        <v>471</v>
      </c>
      <c r="J305" s="175"/>
    </row>
    <row r="306" spans="1:10" s="176" customFormat="1" x14ac:dyDescent="0.25">
      <c r="A306" s="40"/>
      <c r="B306" s="190" t="s">
        <v>537</v>
      </c>
      <c r="C306" s="193" t="s">
        <v>179</v>
      </c>
      <c r="D306" s="192"/>
      <c r="E306" s="192"/>
      <c r="F306" s="192"/>
      <c r="G306" s="192">
        <f t="shared" si="127"/>
        <v>0</v>
      </c>
      <c r="H306" s="24" t="e">
        <f t="shared" si="123"/>
        <v>#DIV/0!</v>
      </c>
      <c r="I306" s="225" t="s">
        <v>471</v>
      </c>
      <c r="J306" s="175"/>
    </row>
    <row r="307" spans="1:10" s="176" customFormat="1" x14ac:dyDescent="0.25">
      <c r="A307" s="40"/>
      <c r="B307" s="190" t="s">
        <v>538</v>
      </c>
      <c r="C307" s="193" t="s">
        <v>180</v>
      </c>
      <c r="D307" s="192"/>
      <c r="E307" s="192"/>
      <c r="F307" s="192"/>
      <c r="G307" s="192">
        <f t="shared" si="127"/>
        <v>0</v>
      </c>
      <c r="H307" s="24" t="e">
        <f t="shared" si="123"/>
        <v>#DIV/0!</v>
      </c>
      <c r="I307" s="225" t="s">
        <v>471</v>
      </c>
      <c r="J307" s="175"/>
    </row>
    <row r="308" spans="1:10" s="176" customFormat="1" x14ac:dyDescent="0.25">
      <c r="A308" s="40"/>
      <c r="B308" s="190" t="s">
        <v>373</v>
      </c>
      <c r="C308" s="193" t="s">
        <v>181</v>
      </c>
      <c r="D308" s="192"/>
      <c r="E308" s="192"/>
      <c r="F308" s="192"/>
      <c r="G308" s="192">
        <f t="shared" si="127"/>
        <v>0</v>
      </c>
      <c r="H308" s="24" t="e">
        <f t="shared" si="123"/>
        <v>#DIV/0!</v>
      </c>
      <c r="I308" s="225" t="s">
        <v>471</v>
      </c>
      <c r="J308" s="175"/>
    </row>
    <row r="309" spans="1:10" s="176" customFormat="1" hidden="1" x14ac:dyDescent="0.25">
      <c r="A309" s="40"/>
      <c r="B309" s="43">
        <v>3</v>
      </c>
      <c r="C309" s="185" t="s">
        <v>182</v>
      </c>
      <c r="D309" s="191">
        <f>SUM(D310:D310)</f>
        <v>0</v>
      </c>
      <c r="E309" s="191"/>
      <c r="F309" s="191"/>
      <c r="G309" s="192">
        <f t="shared" si="127"/>
        <v>0</v>
      </c>
      <c r="H309" s="236">
        <v>0</v>
      </c>
      <c r="I309" s="224"/>
      <c r="J309" s="175"/>
    </row>
    <row r="310" spans="1:10" s="176" customFormat="1" hidden="1" x14ac:dyDescent="0.25">
      <c r="A310" s="40"/>
      <c r="B310" s="44"/>
      <c r="C310" s="193" t="s">
        <v>183</v>
      </c>
      <c r="D310" s="192">
        <v>0</v>
      </c>
      <c r="E310" s="192"/>
      <c r="F310" s="192"/>
      <c r="G310" s="192">
        <f t="shared" si="127"/>
        <v>0</v>
      </c>
      <c r="H310" s="24">
        <v>0</v>
      </c>
      <c r="I310" s="223"/>
      <c r="J310" s="175"/>
    </row>
    <row r="311" spans="1:10" s="176" customFormat="1" hidden="1" x14ac:dyDescent="0.25">
      <c r="A311" s="40"/>
      <c r="B311" s="43">
        <v>4</v>
      </c>
      <c r="C311" s="185" t="s">
        <v>184</v>
      </c>
      <c r="D311" s="191">
        <f>SUM(D312:D312)</f>
        <v>0</v>
      </c>
      <c r="E311" s="191"/>
      <c r="F311" s="191"/>
      <c r="G311" s="192">
        <f t="shared" si="127"/>
        <v>0</v>
      </c>
      <c r="H311" s="236">
        <v>0</v>
      </c>
      <c r="I311" s="223"/>
      <c r="J311" s="175"/>
    </row>
    <row r="312" spans="1:10" s="176" customFormat="1" hidden="1" x14ac:dyDescent="0.25">
      <c r="A312" s="40"/>
      <c r="B312" s="44"/>
      <c r="C312" s="193" t="s">
        <v>185</v>
      </c>
      <c r="D312" s="192">
        <v>0</v>
      </c>
      <c r="E312" s="192"/>
      <c r="F312" s="192"/>
      <c r="G312" s="192">
        <f t="shared" si="127"/>
        <v>0</v>
      </c>
      <c r="H312" s="24">
        <v>0</v>
      </c>
      <c r="I312" s="223"/>
      <c r="J312" s="175"/>
    </row>
    <row r="313" spans="1:10" s="176" customFormat="1" x14ac:dyDescent="0.25">
      <c r="A313" s="40"/>
      <c r="B313" s="43">
        <v>3</v>
      </c>
      <c r="C313" s="35" t="s">
        <v>186</v>
      </c>
      <c r="D313" s="191">
        <f>SUM(D314:D314)</f>
        <v>0</v>
      </c>
      <c r="E313" s="191">
        <f t="shared" ref="E313:G313" si="128">SUM(E314:E314)</f>
        <v>0</v>
      </c>
      <c r="F313" s="191">
        <f t="shared" si="128"/>
        <v>0</v>
      </c>
      <c r="G313" s="191">
        <f t="shared" si="128"/>
        <v>0</v>
      </c>
      <c r="H313" s="236"/>
      <c r="I313" s="223"/>
      <c r="J313" s="175"/>
    </row>
    <row r="314" spans="1:10" s="176" customFormat="1" x14ac:dyDescent="0.25">
      <c r="A314" s="40"/>
      <c r="B314" s="190" t="s">
        <v>374</v>
      </c>
      <c r="C314" s="193" t="s">
        <v>187</v>
      </c>
      <c r="D314" s="192">
        <v>0</v>
      </c>
      <c r="E314" s="192"/>
      <c r="F314" s="192"/>
      <c r="G314" s="192">
        <f t="shared" si="127"/>
        <v>0</v>
      </c>
      <c r="H314" s="24"/>
      <c r="I314" s="225"/>
      <c r="J314" s="175"/>
    </row>
    <row r="315" spans="1:10" s="176" customFormat="1" x14ac:dyDescent="0.25">
      <c r="A315" s="40"/>
      <c r="B315" s="43">
        <v>4</v>
      </c>
      <c r="C315" s="185" t="s">
        <v>188</v>
      </c>
      <c r="D315" s="191">
        <f>SUM(D316)</f>
        <v>0</v>
      </c>
      <c r="E315" s="191">
        <f t="shared" ref="E315:G315" si="129">SUM(E316)</f>
        <v>0</v>
      </c>
      <c r="F315" s="191">
        <f t="shared" si="129"/>
        <v>0</v>
      </c>
      <c r="G315" s="191">
        <f t="shared" si="129"/>
        <v>0</v>
      </c>
      <c r="H315" s="236"/>
      <c r="I315" s="223"/>
      <c r="J315" s="175"/>
    </row>
    <row r="316" spans="1:10" s="176" customFormat="1" x14ac:dyDescent="0.25">
      <c r="A316" s="40"/>
      <c r="B316" s="190" t="s">
        <v>375</v>
      </c>
      <c r="C316" s="193" t="s">
        <v>189</v>
      </c>
      <c r="D316" s="192">
        <v>0</v>
      </c>
      <c r="E316" s="192"/>
      <c r="F316" s="192"/>
      <c r="G316" s="192">
        <f t="shared" si="127"/>
        <v>0</v>
      </c>
      <c r="H316" s="24"/>
      <c r="I316" s="225"/>
      <c r="J316" s="175"/>
    </row>
    <row r="317" spans="1:10" s="176" customFormat="1" hidden="1" x14ac:dyDescent="0.25">
      <c r="A317" s="40"/>
      <c r="B317" s="43">
        <v>5</v>
      </c>
      <c r="C317" s="185" t="s">
        <v>190</v>
      </c>
      <c r="D317" s="191">
        <f>SUM(D318)</f>
        <v>0</v>
      </c>
      <c r="E317" s="191"/>
      <c r="F317" s="191">
        <f>SUM(F318)</f>
        <v>0</v>
      </c>
      <c r="G317" s="192" t="e">
        <f>#REF!+F317</f>
        <v>#REF!</v>
      </c>
      <c r="H317" s="236">
        <v>0</v>
      </c>
      <c r="I317" s="224"/>
      <c r="J317" s="175"/>
    </row>
    <row r="318" spans="1:10" s="176" customFormat="1" hidden="1" x14ac:dyDescent="0.25">
      <c r="A318" s="40"/>
      <c r="B318" s="44"/>
      <c r="C318" s="193" t="s">
        <v>191</v>
      </c>
      <c r="D318" s="192">
        <v>0</v>
      </c>
      <c r="E318" s="192"/>
      <c r="F318" s="192">
        <v>0</v>
      </c>
      <c r="G318" s="192" t="e">
        <f>#REF!+F318</f>
        <v>#REF!</v>
      </c>
      <c r="H318" s="24">
        <v>0</v>
      </c>
      <c r="I318" s="223"/>
      <c r="J318" s="175"/>
    </row>
    <row r="319" spans="1:10" s="176" customFormat="1" x14ac:dyDescent="0.25">
      <c r="A319" s="40"/>
      <c r="B319" s="43">
        <v>5</v>
      </c>
      <c r="C319" s="185" t="s">
        <v>192</v>
      </c>
      <c r="D319" s="191">
        <f>SUM(D320:D321)</f>
        <v>0</v>
      </c>
      <c r="E319" s="191">
        <f t="shared" ref="E319:G319" si="130">SUM(E320:E321)</f>
        <v>0</v>
      </c>
      <c r="F319" s="191">
        <f t="shared" si="130"/>
        <v>0</v>
      </c>
      <c r="G319" s="191">
        <f t="shared" si="130"/>
        <v>0</v>
      </c>
      <c r="H319" s="236" t="e">
        <f>G319/D319</f>
        <v>#DIV/0!</v>
      </c>
      <c r="I319" s="223"/>
      <c r="J319" s="175"/>
    </row>
    <row r="320" spans="1:10" s="176" customFormat="1" x14ac:dyDescent="0.25">
      <c r="A320" s="40"/>
      <c r="B320" s="190" t="s">
        <v>539</v>
      </c>
      <c r="C320" s="193" t="s">
        <v>193</v>
      </c>
      <c r="D320" s="192"/>
      <c r="E320" s="192"/>
      <c r="F320" s="192"/>
      <c r="G320" s="192">
        <f>E320+F320</f>
        <v>0</v>
      </c>
      <c r="H320" s="24" t="e">
        <f>G320/D320</f>
        <v>#DIV/0!</v>
      </c>
      <c r="I320" s="225" t="s">
        <v>470</v>
      </c>
      <c r="J320" s="175"/>
    </row>
    <row r="321" spans="1:10" s="176" customFormat="1" x14ac:dyDescent="0.25">
      <c r="A321" s="40"/>
      <c r="B321" s="190" t="s">
        <v>540</v>
      </c>
      <c r="C321" s="193" t="s">
        <v>194</v>
      </c>
      <c r="D321" s="192"/>
      <c r="E321" s="192"/>
      <c r="F321" s="192"/>
      <c r="G321" s="192">
        <f>E321+F321</f>
        <v>0</v>
      </c>
      <c r="H321" s="24" t="e">
        <f>G321/D321</f>
        <v>#DIV/0!</v>
      </c>
      <c r="I321" s="225" t="s">
        <v>470</v>
      </c>
      <c r="J321" s="175"/>
    </row>
    <row r="322" spans="1:10" s="176" customFormat="1" x14ac:dyDescent="0.25">
      <c r="A322" s="40"/>
      <c r="B322" s="43">
        <v>6</v>
      </c>
      <c r="C322" s="170" t="s">
        <v>206</v>
      </c>
      <c r="D322" s="191">
        <f>D323</f>
        <v>7340205000</v>
      </c>
      <c r="E322" s="191">
        <f t="shared" ref="E322:G322" si="131">E323</f>
        <v>0</v>
      </c>
      <c r="F322" s="191">
        <f t="shared" si="131"/>
        <v>0</v>
      </c>
      <c r="G322" s="191">
        <f t="shared" si="131"/>
        <v>0</v>
      </c>
      <c r="H322" s="236">
        <f>G322/D322</f>
        <v>0</v>
      </c>
      <c r="I322" s="225"/>
      <c r="J322" s="175"/>
    </row>
    <row r="323" spans="1:10" s="176" customFormat="1" x14ac:dyDescent="0.25">
      <c r="A323" s="40"/>
      <c r="B323" s="190"/>
      <c r="C323" s="48" t="s">
        <v>210</v>
      </c>
      <c r="D323" s="192">
        <v>7340205000</v>
      </c>
      <c r="E323" s="192"/>
      <c r="F323" s="192"/>
      <c r="G323" s="192"/>
      <c r="H323" s="24">
        <f>G323/D323</f>
        <v>0</v>
      </c>
      <c r="I323" s="225"/>
      <c r="J323" s="175"/>
    </row>
    <row r="324" spans="1:10" s="176" customFormat="1" x14ac:dyDescent="0.25">
      <c r="A324" s="40"/>
      <c r="B324" s="178"/>
      <c r="C324" s="183"/>
      <c r="D324" s="192"/>
      <c r="E324" s="192"/>
      <c r="F324" s="192"/>
      <c r="G324" s="191"/>
      <c r="H324" s="236"/>
      <c r="I324" s="224"/>
      <c r="J324" s="175"/>
    </row>
    <row r="325" spans="1:10" s="176" customFormat="1" ht="37.5" hidden="1" customHeight="1" x14ac:dyDescent="0.25">
      <c r="A325" s="293"/>
      <c r="B325" s="262" t="s">
        <v>414</v>
      </c>
      <c r="C325" s="45" t="s">
        <v>195</v>
      </c>
      <c r="D325" s="42">
        <f>SUM(D326+D335+D337+D339+D341+D343+D345)</f>
        <v>0</v>
      </c>
      <c r="E325" s="42"/>
      <c r="F325" s="42">
        <f t="shared" ref="F325:G325" si="132">SUM(F326+F335+F337+F339+F341+F343+F345)</f>
        <v>0</v>
      </c>
      <c r="G325" s="42">
        <f t="shared" si="132"/>
        <v>0</v>
      </c>
      <c r="H325" s="237" t="e">
        <f>G325/D325</f>
        <v>#DIV/0!</v>
      </c>
      <c r="I325" s="225" t="s">
        <v>469</v>
      </c>
      <c r="J325" s="175"/>
    </row>
    <row r="326" spans="1:10" s="176" customFormat="1" hidden="1" x14ac:dyDescent="0.25">
      <c r="A326" s="40"/>
      <c r="B326" s="43">
        <v>1</v>
      </c>
      <c r="C326" s="185" t="s">
        <v>177</v>
      </c>
      <c r="D326" s="191">
        <f>SUM(D328:D333)</f>
        <v>0</v>
      </c>
      <c r="E326" s="191">
        <f t="shared" ref="E326:G326" si="133">SUM(E328:E333)</f>
        <v>0</v>
      </c>
      <c r="F326" s="191">
        <f t="shared" si="133"/>
        <v>0</v>
      </c>
      <c r="G326" s="191">
        <f t="shared" si="133"/>
        <v>0</v>
      </c>
      <c r="H326" s="236" t="e">
        <f>G326/D326</f>
        <v>#DIV/0!</v>
      </c>
      <c r="I326" s="225"/>
      <c r="J326" s="175"/>
    </row>
    <row r="327" spans="1:10" s="176" customFormat="1" hidden="1" x14ac:dyDescent="0.25">
      <c r="A327" s="40"/>
      <c r="B327" s="44"/>
      <c r="C327" s="193" t="s">
        <v>196</v>
      </c>
      <c r="D327" s="192">
        <v>0</v>
      </c>
      <c r="E327" s="192"/>
      <c r="F327" s="192">
        <v>0</v>
      </c>
      <c r="G327" s="191" t="e">
        <f>#REF!+F327</f>
        <v>#REF!</v>
      </c>
      <c r="H327" s="24">
        <v>0</v>
      </c>
      <c r="I327" s="223"/>
      <c r="J327" s="175"/>
    </row>
    <row r="328" spans="1:10" s="176" customFormat="1" hidden="1" x14ac:dyDescent="0.25">
      <c r="A328" s="40"/>
      <c r="B328" s="190" t="s">
        <v>388</v>
      </c>
      <c r="C328" s="193" t="s">
        <v>197</v>
      </c>
      <c r="D328" s="192">
        <v>0</v>
      </c>
      <c r="E328" s="192"/>
      <c r="F328" s="192"/>
      <c r="G328" s="192">
        <f>E328+F328</f>
        <v>0</v>
      </c>
      <c r="H328" s="24"/>
      <c r="I328" s="225"/>
      <c r="J328" s="175"/>
    </row>
    <row r="329" spans="1:10" s="176" customFormat="1" ht="18" hidden="1" customHeight="1" x14ac:dyDescent="0.25">
      <c r="A329" s="40"/>
      <c r="B329" s="44"/>
      <c r="C329" s="193" t="s">
        <v>198</v>
      </c>
      <c r="D329" s="192"/>
      <c r="E329" s="192"/>
      <c r="F329" s="192"/>
      <c r="G329" s="192">
        <f t="shared" ref="G329:G333" si="134">E329+F329</f>
        <v>0</v>
      </c>
      <c r="H329" s="24"/>
      <c r="I329" s="223"/>
      <c r="J329" s="175"/>
    </row>
    <row r="330" spans="1:10" s="176" customFormat="1" hidden="1" x14ac:dyDescent="0.25">
      <c r="A330" s="40"/>
      <c r="B330" s="190" t="s">
        <v>389</v>
      </c>
      <c r="C330" s="193" t="s">
        <v>199</v>
      </c>
      <c r="D330" s="192">
        <v>0</v>
      </c>
      <c r="E330" s="192"/>
      <c r="F330" s="192"/>
      <c r="G330" s="192">
        <f t="shared" si="134"/>
        <v>0</v>
      </c>
      <c r="H330" s="24"/>
      <c r="I330" s="225"/>
      <c r="J330" s="175"/>
    </row>
    <row r="331" spans="1:10" s="176" customFormat="1" hidden="1" x14ac:dyDescent="0.25">
      <c r="A331" s="40"/>
      <c r="B331" s="44"/>
      <c r="C331" s="193" t="s">
        <v>200</v>
      </c>
      <c r="D331" s="192">
        <v>0</v>
      </c>
      <c r="E331" s="192"/>
      <c r="F331" s="192"/>
      <c r="G331" s="192">
        <f t="shared" si="134"/>
        <v>0</v>
      </c>
      <c r="H331" s="24">
        <v>0</v>
      </c>
      <c r="I331" s="223"/>
      <c r="J331" s="175"/>
    </row>
    <row r="332" spans="1:10" s="176" customFormat="1" hidden="1" x14ac:dyDescent="0.25">
      <c r="A332" s="40"/>
      <c r="B332" s="44"/>
      <c r="C332" s="193" t="s">
        <v>201</v>
      </c>
      <c r="D332" s="192">
        <v>0</v>
      </c>
      <c r="E332" s="192"/>
      <c r="F332" s="192"/>
      <c r="G332" s="192">
        <f t="shared" si="134"/>
        <v>0</v>
      </c>
      <c r="H332" s="24"/>
      <c r="I332" s="225"/>
      <c r="J332" s="175"/>
    </row>
    <row r="333" spans="1:10" s="176" customFormat="1" hidden="1" x14ac:dyDescent="0.25">
      <c r="A333" s="40"/>
      <c r="B333" s="190" t="s">
        <v>541</v>
      </c>
      <c r="C333" s="193" t="s">
        <v>390</v>
      </c>
      <c r="D333" s="192"/>
      <c r="E333" s="192"/>
      <c r="F333" s="192"/>
      <c r="G333" s="192">
        <f t="shared" si="134"/>
        <v>0</v>
      </c>
      <c r="H333" s="24" t="e">
        <f>G333/D333</f>
        <v>#DIV/0!</v>
      </c>
      <c r="I333" s="225" t="s">
        <v>470</v>
      </c>
      <c r="J333" s="175"/>
    </row>
    <row r="334" spans="1:10" s="176" customFormat="1" hidden="1" x14ac:dyDescent="0.25">
      <c r="A334" s="40"/>
      <c r="B334" s="44"/>
      <c r="C334" s="183"/>
      <c r="D334" s="192"/>
      <c r="E334" s="192"/>
      <c r="F334" s="192"/>
      <c r="G334" s="191"/>
      <c r="H334" s="24"/>
      <c r="I334" s="223"/>
      <c r="J334" s="175"/>
    </row>
    <row r="335" spans="1:10" s="176" customFormat="1" hidden="1" x14ac:dyDescent="0.25">
      <c r="A335" s="40"/>
      <c r="B335" s="43">
        <v>2</v>
      </c>
      <c r="C335" s="185" t="s">
        <v>202</v>
      </c>
      <c r="D335" s="191">
        <f>SUM(D336:D336)</f>
        <v>0</v>
      </c>
      <c r="E335" s="191"/>
      <c r="F335" s="191">
        <f t="shared" ref="F335:G335" si="135">SUM(F336:F336)</f>
        <v>0</v>
      </c>
      <c r="G335" s="191">
        <f t="shared" si="135"/>
        <v>0</v>
      </c>
      <c r="H335" s="236" t="e">
        <f t="shared" ref="H335:H346" si="136">G335/D335</f>
        <v>#DIV/0!</v>
      </c>
      <c r="I335" s="224"/>
      <c r="J335" s="175"/>
    </row>
    <row r="336" spans="1:10" s="176" customFormat="1" hidden="1" x14ac:dyDescent="0.25">
      <c r="A336" s="40"/>
      <c r="B336" s="190" t="s">
        <v>542</v>
      </c>
      <c r="C336" s="193" t="s">
        <v>391</v>
      </c>
      <c r="D336" s="192"/>
      <c r="E336" s="192"/>
      <c r="F336" s="192"/>
      <c r="G336" s="192">
        <f>E336+F336</f>
        <v>0</v>
      </c>
      <c r="H336" s="24" t="e">
        <f t="shared" si="136"/>
        <v>#DIV/0!</v>
      </c>
      <c r="I336" s="225" t="s">
        <v>470</v>
      </c>
      <c r="J336" s="175"/>
    </row>
    <row r="337" spans="1:10" s="176" customFormat="1" hidden="1" x14ac:dyDescent="0.25">
      <c r="A337" s="40"/>
      <c r="B337" s="43">
        <v>3</v>
      </c>
      <c r="C337" s="185" t="s">
        <v>203</v>
      </c>
      <c r="D337" s="191">
        <f>SUM(D338:D338)</f>
        <v>0</v>
      </c>
      <c r="E337" s="191"/>
      <c r="F337" s="191">
        <f t="shared" ref="F337:G337" si="137">SUM(F338:F338)</f>
        <v>0</v>
      </c>
      <c r="G337" s="191">
        <f t="shared" si="137"/>
        <v>0</v>
      </c>
      <c r="H337" s="236" t="e">
        <f t="shared" si="136"/>
        <v>#DIV/0!</v>
      </c>
      <c r="I337" s="224"/>
      <c r="J337" s="175"/>
    </row>
    <row r="338" spans="1:10" s="176" customFormat="1" hidden="1" x14ac:dyDescent="0.25">
      <c r="A338" s="40"/>
      <c r="B338" s="190" t="s">
        <v>543</v>
      </c>
      <c r="C338" s="193" t="s">
        <v>392</v>
      </c>
      <c r="D338" s="192"/>
      <c r="E338" s="192"/>
      <c r="F338" s="192"/>
      <c r="G338" s="192">
        <f>E338+F338</f>
        <v>0</v>
      </c>
      <c r="H338" s="24" t="e">
        <f t="shared" si="136"/>
        <v>#DIV/0!</v>
      </c>
      <c r="I338" s="225" t="s">
        <v>469</v>
      </c>
      <c r="J338" s="175"/>
    </row>
    <row r="339" spans="1:10" s="176" customFormat="1" hidden="1" x14ac:dyDescent="0.25">
      <c r="A339" s="40"/>
      <c r="B339" s="43">
        <v>4</v>
      </c>
      <c r="C339" s="185" t="s">
        <v>192</v>
      </c>
      <c r="D339" s="191">
        <f>SUM(D340)</f>
        <v>0</v>
      </c>
      <c r="E339" s="191"/>
      <c r="F339" s="191">
        <f t="shared" ref="F339:G339" si="138">SUM(F340)</f>
        <v>0</v>
      </c>
      <c r="G339" s="191">
        <f t="shared" si="138"/>
        <v>0</v>
      </c>
      <c r="H339" s="236" t="e">
        <f t="shared" si="136"/>
        <v>#DIV/0!</v>
      </c>
      <c r="I339" s="224"/>
      <c r="J339" s="175"/>
    </row>
    <row r="340" spans="1:10" s="176" customFormat="1" hidden="1" x14ac:dyDescent="0.25">
      <c r="A340" s="40"/>
      <c r="B340" s="190" t="s">
        <v>544</v>
      </c>
      <c r="C340" s="47" t="s">
        <v>393</v>
      </c>
      <c r="D340" s="192"/>
      <c r="E340" s="192"/>
      <c r="F340" s="192"/>
      <c r="G340" s="192">
        <f>E340+F340</f>
        <v>0</v>
      </c>
      <c r="H340" s="24" t="e">
        <f t="shared" si="136"/>
        <v>#DIV/0!</v>
      </c>
      <c r="I340" s="225" t="s">
        <v>469</v>
      </c>
      <c r="J340" s="175"/>
    </row>
    <row r="341" spans="1:10" s="176" customFormat="1" hidden="1" x14ac:dyDescent="0.25">
      <c r="A341" s="40"/>
      <c r="B341" s="43">
        <v>5</v>
      </c>
      <c r="C341" s="185" t="s">
        <v>204</v>
      </c>
      <c r="D341" s="191">
        <f>SUM(D342:D342)</f>
        <v>0</v>
      </c>
      <c r="E341" s="191"/>
      <c r="F341" s="191">
        <f t="shared" ref="F341:G341" si="139">SUM(F342:F342)</f>
        <v>0</v>
      </c>
      <c r="G341" s="191">
        <f t="shared" si="139"/>
        <v>0</v>
      </c>
      <c r="H341" s="236" t="e">
        <f t="shared" si="136"/>
        <v>#DIV/0!</v>
      </c>
      <c r="I341" s="223"/>
      <c r="J341" s="175"/>
    </row>
    <row r="342" spans="1:10" s="176" customFormat="1" hidden="1" x14ac:dyDescent="0.25">
      <c r="A342" s="40"/>
      <c r="B342" s="190" t="s">
        <v>545</v>
      </c>
      <c r="C342" s="47" t="s">
        <v>394</v>
      </c>
      <c r="D342" s="192"/>
      <c r="E342" s="192"/>
      <c r="F342" s="192"/>
      <c r="G342" s="192">
        <f>E342+F342</f>
        <v>0</v>
      </c>
      <c r="H342" s="24" t="e">
        <f t="shared" si="136"/>
        <v>#DIV/0!</v>
      </c>
      <c r="I342" s="225"/>
      <c r="J342" s="175"/>
    </row>
    <row r="343" spans="1:10" s="176" customFormat="1" hidden="1" x14ac:dyDescent="0.25">
      <c r="A343" s="40"/>
      <c r="B343" s="43">
        <v>6</v>
      </c>
      <c r="C343" s="185" t="s">
        <v>205</v>
      </c>
      <c r="D343" s="191">
        <f>SUM(D344:D344)</f>
        <v>0</v>
      </c>
      <c r="E343" s="191">
        <f t="shared" ref="E343:G343" si="140">SUM(E344:E344)</f>
        <v>0</v>
      </c>
      <c r="F343" s="191">
        <f t="shared" si="140"/>
        <v>0</v>
      </c>
      <c r="G343" s="191">
        <f t="shared" si="140"/>
        <v>0</v>
      </c>
      <c r="H343" s="253" t="e">
        <f t="shared" si="136"/>
        <v>#DIV/0!</v>
      </c>
      <c r="I343" s="223"/>
      <c r="J343" s="175"/>
    </row>
    <row r="344" spans="1:10" s="176" customFormat="1" hidden="1" x14ac:dyDescent="0.25">
      <c r="A344" s="40"/>
      <c r="B344" s="190" t="s">
        <v>376</v>
      </c>
      <c r="C344" s="48" t="s">
        <v>395</v>
      </c>
      <c r="D344" s="192">
        <v>0</v>
      </c>
      <c r="E344" s="192"/>
      <c r="F344" s="192"/>
      <c r="G344" s="192">
        <f>E344+F344</f>
        <v>0</v>
      </c>
      <c r="H344" s="252" t="e">
        <f t="shared" si="136"/>
        <v>#DIV/0!</v>
      </c>
      <c r="I344" s="225"/>
      <c r="J344" s="175"/>
    </row>
    <row r="345" spans="1:10" s="176" customFormat="1" hidden="1" x14ac:dyDescent="0.25">
      <c r="A345" s="40"/>
      <c r="B345" s="46">
        <v>7</v>
      </c>
      <c r="C345" s="170" t="s">
        <v>206</v>
      </c>
      <c r="D345" s="191">
        <f>D346</f>
        <v>0</v>
      </c>
      <c r="E345" s="191"/>
      <c r="F345" s="191">
        <f t="shared" ref="F345:G345" si="141">F346</f>
        <v>0</v>
      </c>
      <c r="G345" s="191">
        <f t="shared" si="141"/>
        <v>0</v>
      </c>
      <c r="H345" s="236" t="e">
        <f t="shared" si="136"/>
        <v>#DIV/0!</v>
      </c>
      <c r="I345" s="225"/>
      <c r="J345" s="175"/>
    </row>
    <row r="346" spans="1:10" s="176" customFormat="1" hidden="1" x14ac:dyDescent="0.25">
      <c r="A346" s="40"/>
      <c r="B346" s="190" t="s">
        <v>546</v>
      </c>
      <c r="C346" s="48" t="s">
        <v>207</v>
      </c>
      <c r="D346" s="192"/>
      <c r="E346" s="192"/>
      <c r="F346" s="192"/>
      <c r="G346" s="192">
        <f>E346+F346</f>
        <v>0</v>
      </c>
      <c r="H346" s="24" t="e">
        <f t="shared" si="136"/>
        <v>#DIV/0!</v>
      </c>
      <c r="I346" s="225" t="s">
        <v>469</v>
      </c>
      <c r="J346" s="175"/>
    </row>
    <row r="347" spans="1:10" s="176" customFormat="1" hidden="1" x14ac:dyDescent="0.25">
      <c r="A347" s="40"/>
      <c r="B347" s="46"/>
      <c r="C347" s="49"/>
      <c r="D347" s="50"/>
      <c r="E347" s="50"/>
      <c r="F347" s="50"/>
      <c r="G347" s="191"/>
      <c r="H347" s="236"/>
      <c r="I347" s="223"/>
      <c r="J347" s="175"/>
    </row>
    <row r="348" spans="1:10" s="176" customFormat="1" ht="36.75" hidden="1" customHeight="1" x14ac:dyDescent="0.25">
      <c r="A348" s="293"/>
      <c r="B348" s="262" t="s">
        <v>415</v>
      </c>
      <c r="C348" s="41" t="s">
        <v>208</v>
      </c>
      <c r="D348" s="42">
        <f>SUM(D349+D351+D353+D356+D358+D360)</f>
        <v>0</v>
      </c>
      <c r="E348" s="42"/>
      <c r="F348" s="42">
        <f>SUM(F349+F351+F353+F356+F358+F360)</f>
        <v>0</v>
      </c>
      <c r="G348" s="42">
        <f t="shared" ref="G348:G361" si="142">F348-D348</f>
        <v>0</v>
      </c>
      <c r="H348" s="237"/>
      <c r="I348" s="226"/>
      <c r="J348" s="175"/>
    </row>
    <row r="349" spans="1:10" s="176" customFormat="1" hidden="1" x14ac:dyDescent="0.25">
      <c r="A349" s="40"/>
      <c r="B349" s="51">
        <v>1</v>
      </c>
      <c r="C349" s="35" t="s">
        <v>209</v>
      </c>
      <c r="D349" s="191">
        <f>SUM(D350:D350)</f>
        <v>0</v>
      </c>
      <c r="E349" s="191"/>
      <c r="F349" s="191">
        <f>SUM(F350:F350)</f>
        <v>0</v>
      </c>
      <c r="G349" s="191">
        <f t="shared" si="142"/>
        <v>0</v>
      </c>
      <c r="H349" s="236"/>
      <c r="I349" s="224"/>
      <c r="J349" s="175"/>
    </row>
    <row r="350" spans="1:10" s="176" customFormat="1" hidden="1" x14ac:dyDescent="0.25">
      <c r="A350" s="40"/>
      <c r="B350" s="190" t="s">
        <v>380</v>
      </c>
      <c r="C350" s="193" t="s">
        <v>210</v>
      </c>
      <c r="D350" s="192">
        <v>0</v>
      </c>
      <c r="E350" s="192"/>
      <c r="F350" s="192">
        <v>0</v>
      </c>
      <c r="G350" s="192">
        <f t="shared" si="142"/>
        <v>0</v>
      </c>
      <c r="H350" s="24"/>
      <c r="I350" s="225"/>
      <c r="J350" s="175"/>
    </row>
    <row r="351" spans="1:10" s="176" customFormat="1" hidden="1" x14ac:dyDescent="0.25">
      <c r="A351" s="40"/>
      <c r="B351" s="51">
        <v>2</v>
      </c>
      <c r="C351" s="35" t="s">
        <v>211</v>
      </c>
      <c r="D351" s="191">
        <f>SUM(D352)</f>
        <v>0</v>
      </c>
      <c r="E351" s="191"/>
      <c r="F351" s="191">
        <f>SUM(F352)</f>
        <v>0</v>
      </c>
      <c r="G351" s="191">
        <f t="shared" si="142"/>
        <v>0</v>
      </c>
      <c r="H351" s="236"/>
      <c r="I351" s="224"/>
      <c r="J351" s="175"/>
    </row>
    <row r="352" spans="1:10" s="176" customFormat="1" hidden="1" x14ac:dyDescent="0.25">
      <c r="A352" s="40"/>
      <c r="B352" s="190" t="s">
        <v>383</v>
      </c>
      <c r="C352" s="193" t="s">
        <v>194</v>
      </c>
      <c r="D352" s="192">
        <v>0</v>
      </c>
      <c r="E352" s="192"/>
      <c r="F352" s="192">
        <v>0</v>
      </c>
      <c r="G352" s="192">
        <f t="shared" si="142"/>
        <v>0</v>
      </c>
      <c r="H352" s="24"/>
      <c r="I352" s="225"/>
      <c r="J352" s="175"/>
    </row>
    <row r="353" spans="1:10" s="176" customFormat="1" hidden="1" x14ac:dyDescent="0.25">
      <c r="A353" s="40"/>
      <c r="B353" s="51">
        <v>3</v>
      </c>
      <c r="C353" s="185" t="s">
        <v>172</v>
      </c>
      <c r="D353" s="191">
        <f>SUM(D354:D355)</f>
        <v>0</v>
      </c>
      <c r="E353" s="191"/>
      <c r="F353" s="191">
        <f>SUM(F354:F355)</f>
        <v>0</v>
      </c>
      <c r="G353" s="191">
        <f t="shared" si="142"/>
        <v>0</v>
      </c>
      <c r="H353" s="236"/>
      <c r="I353" s="224"/>
      <c r="J353" s="175"/>
    </row>
    <row r="354" spans="1:10" s="176" customFormat="1" hidden="1" x14ac:dyDescent="0.25">
      <c r="A354" s="40"/>
      <c r="B354" s="190" t="s">
        <v>377</v>
      </c>
      <c r="C354" s="193" t="s">
        <v>174</v>
      </c>
      <c r="D354" s="192"/>
      <c r="E354" s="192"/>
      <c r="F354" s="192"/>
      <c r="G354" s="192">
        <f t="shared" si="142"/>
        <v>0</v>
      </c>
      <c r="H354" s="24"/>
      <c r="I354" s="225"/>
      <c r="J354" s="175"/>
    </row>
    <row r="355" spans="1:10" s="176" customFormat="1" hidden="1" x14ac:dyDescent="0.25">
      <c r="A355" s="40"/>
      <c r="B355" s="190" t="s">
        <v>378</v>
      </c>
      <c r="C355" s="193" t="s">
        <v>175</v>
      </c>
      <c r="D355" s="192"/>
      <c r="E355" s="192"/>
      <c r="F355" s="192"/>
      <c r="G355" s="192">
        <f t="shared" si="142"/>
        <v>0</v>
      </c>
      <c r="H355" s="24"/>
      <c r="I355" s="225"/>
      <c r="J355" s="175"/>
    </row>
    <row r="356" spans="1:10" s="176" customFormat="1" hidden="1" x14ac:dyDescent="0.25">
      <c r="A356" s="40"/>
      <c r="B356" s="51">
        <v>4</v>
      </c>
      <c r="C356" s="35" t="s">
        <v>212</v>
      </c>
      <c r="D356" s="191">
        <f>D357</f>
        <v>0</v>
      </c>
      <c r="E356" s="191"/>
      <c r="F356" s="191">
        <f>F357</f>
        <v>0</v>
      </c>
      <c r="G356" s="191">
        <f t="shared" si="142"/>
        <v>0</v>
      </c>
      <c r="H356" s="236"/>
      <c r="I356" s="225"/>
      <c r="J356" s="175"/>
    </row>
    <row r="357" spans="1:10" s="176" customFormat="1" hidden="1" x14ac:dyDescent="0.25">
      <c r="A357" s="40"/>
      <c r="B357" s="190" t="s">
        <v>381</v>
      </c>
      <c r="C357" s="193" t="s">
        <v>189</v>
      </c>
      <c r="D357" s="191">
        <v>0</v>
      </c>
      <c r="E357" s="191"/>
      <c r="F357" s="191">
        <v>0</v>
      </c>
      <c r="G357" s="192">
        <f t="shared" si="142"/>
        <v>0</v>
      </c>
      <c r="H357" s="236"/>
      <c r="I357" s="225"/>
      <c r="J357" s="175"/>
    </row>
    <row r="358" spans="1:10" s="176" customFormat="1" hidden="1" x14ac:dyDescent="0.25">
      <c r="A358" s="40"/>
      <c r="B358" s="51">
        <v>5</v>
      </c>
      <c r="C358" s="35" t="s">
        <v>213</v>
      </c>
      <c r="D358" s="191">
        <f>SUM(D359:D359)</f>
        <v>0</v>
      </c>
      <c r="E358" s="191"/>
      <c r="F358" s="191">
        <f>SUM(F359:F359)</f>
        <v>0</v>
      </c>
      <c r="G358" s="191">
        <f t="shared" si="142"/>
        <v>0</v>
      </c>
      <c r="H358" s="236"/>
      <c r="I358" s="224"/>
      <c r="J358" s="175"/>
    </row>
    <row r="359" spans="1:10" s="176" customFormat="1" hidden="1" x14ac:dyDescent="0.25">
      <c r="A359" s="40"/>
      <c r="B359" s="190" t="s">
        <v>382</v>
      </c>
      <c r="C359" s="193" t="s">
        <v>187</v>
      </c>
      <c r="D359" s="192">
        <v>0</v>
      </c>
      <c r="E359" s="192"/>
      <c r="F359" s="192">
        <v>0</v>
      </c>
      <c r="G359" s="192">
        <f t="shared" si="142"/>
        <v>0</v>
      </c>
      <c r="H359" s="24"/>
      <c r="I359" s="225"/>
      <c r="J359" s="175"/>
    </row>
    <row r="360" spans="1:10" s="176" customFormat="1" hidden="1" x14ac:dyDescent="0.25">
      <c r="A360" s="40"/>
      <c r="B360" s="51">
        <v>6</v>
      </c>
      <c r="C360" s="35" t="s">
        <v>214</v>
      </c>
      <c r="D360" s="191">
        <f>SUM(D361:D361)</f>
        <v>0</v>
      </c>
      <c r="E360" s="191"/>
      <c r="F360" s="191">
        <f>SUM(F361:F361)</f>
        <v>0</v>
      </c>
      <c r="G360" s="191">
        <f t="shared" si="142"/>
        <v>0</v>
      </c>
      <c r="H360" s="236"/>
      <c r="I360" s="224"/>
      <c r="J360" s="175"/>
    </row>
    <row r="361" spans="1:10" s="176" customFormat="1" hidden="1" x14ac:dyDescent="0.25">
      <c r="A361" s="40"/>
      <c r="B361" s="190" t="s">
        <v>379</v>
      </c>
      <c r="C361" s="193" t="s">
        <v>215</v>
      </c>
      <c r="D361" s="192"/>
      <c r="E361" s="192"/>
      <c r="F361" s="192"/>
      <c r="G361" s="192">
        <f t="shared" si="142"/>
        <v>0</v>
      </c>
      <c r="H361" s="24"/>
      <c r="I361" s="225"/>
      <c r="J361" s="175"/>
    </row>
    <row r="362" spans="1:10" s="176" customFormat="1" x14ac:dyDescent="0.25">
      <c r="A362" s="40"/>
      <c r="B362" s="178"/>
      <c r="C362" s="183"/>
      <c r="D362" s="192"/>
      <c r="E362" s="192"/>
      <c r="F362" s="192"/>
      <c r="G362" s="191"/>
      <c r="H362" s="236"/>
      <c r="I362" s="224"/>
      <c r="J362" s="175"/>
    </row>
    <row r="363" spans="1:10" s="176" customFormat="1" ht="25.5" customHeight="1" x14ac:dyDescent="0.25">
      <c r="A363" s="138" t="s">
        <v>235</v>
      </c>
      <c r="B363" s="139" t="s">
        <v>384</v>
      </c>
      <c r="C363" s="140" t="s">
        <v>385</v>
      </c>
      <c r="D363" s="141">
        <f>SUM(D365+D367+M370+D370+D373+D376+D379+D382+D390+D393+D396+D399+D402+D405)</f>
        <v>51863030000</v>
      </c>
      <c r="E363" s="141"/>
      <c r="F363" s="141">
        <f t="shared" ref="F363:G363" si="143">SUM(F370+F373+F376+F379+F382+F390+F393+F396+F399+F402+F405)</f>
        <v>0</v>
      </c>
      <c r="G363" s="141">
        <f t="shared" si="143"/>
        <v>0</v>
      </c>
      <c r="H363" s="240">
        <f>G363/D363</f>
        <v>0</v>
      </c>
      <c r="I363" s="225" t="s">
        <v>216</v>
      </c>
      <c r="J363" s="175"/>
    </row>
    <row r="364" spans="1:10" s="176" customFormat="1" ht="21" customHeight="1" x14ac:dyDescent="0.25">
      <c r="A364" s="40"/>
      <c r="B364" s="167" t="s">
        <v>19</v>
      </c>
      <c r="C364" s="185" t="s">
        <v>635</v>
      </c>
      <c r="D364" s="191">
        <f>D365</f>
        <v>50738030000</v>
      </c>
      <c r="E364" s="191"/>
      <c r="F364" s="191">
        <f t="shared" ref="F364:G364" si="144">F365</f>
        <v>0</v>
      </c>
      <c r="G364" s="191">
        <f t="shared" si="144"/>
        <v>0</v>
      </c>
      <c r="H364" s="236">
        <f>G364/D364</f>
        <v>0</v>
      </c>
      <c r="I364" s="225" t="s">
        <v>218</v>
      </c>
      <c r="J364" s="175"/>
    </row>
    <row r="365" spans="1:10" s="176" customFormat="1" ht="21" customHeight="1" x14ac:dyDescent="0.25">
      <c r="A365" s="40"/>
      <c r="B365" s="190" t="s">
        <v>634</v>
      </c>
      <c r="C365" s="183" t="s">
        <v>636</v>
      </c>
      <c r="D365" s="192">
        <v>50738030000</v>
      </c>
      <c r="E365" s="192"/>
      <c r="F365" s="192"/>
      <c r="G365" s="192">
        <f>E365+F365</f>
        <v>0</v>
      </c>
      <c r="H365" s="24">
        <f>G365/D365</f>
        <v>0</v>
      </c>
      <c r="I365" s="225"/>
      <c r="J365" s="175"/>
    </row>
    <row r="366" spans="1:10" s="176" customFormat="1" ht="25.5" customHeight="1" x14ac:dyDescent="0.25">
      <c r="A366" s="169"/>
      <c r="B366" s="189"/>
      <c r="C366" s="185"/>
      <c r="D366" s="191"/>
      <c r="E366" s="191"/>
      <c r="F366" s="191"/>
      <c r="G366" s="191"/>
      <c r="H366" s="236"/>
      <c r="I366" s="225"/>
      <c r="J366" s="175"/>
    </row>
    <row r="367" spans="1:10" s="176" customFormat="1" ht="21" customHeight="1" x14ac:dyDescent="0.25">
      <c r="A367" s="40"/>
      <c r="B367" s="167" t="s">
        <v>39</v>
      </c>
      <c r="C367" s="185" t="s">
        <v>638</v>
      </c>
      <c r="D367" s="191">
        <f>D368</f>
        <v>1125000000</v>
      </c>
      <c r="E367" s="191"/>
      <c r="F367" s="191">
        <f t="shared" ref="F367:G367" si="145">F368</f>
        <v>0</v>
      </c>
      <c r="G367" s="191">
        <f t="shared" si="145"/>
        <v>0</v>
      </c>
      <c r="H367" s="236">
        <f>G367/D367</f>
        <v>0</v>
      </c>
      <c r="I367" s="225" t="s">
        <v>218</v>
      </c>
      <c r="J367" s="175"/>
    </row>
    <row r="368" spans="1:10" s="176" customFormat="1" ht="21" customHeight="1" x14ac:dyDescent="0.25">
      <c r="A368" s="40"/>
      <c r="B368" s="190" t="s">
        <v>637</v>
      </c>
      <c r="C368" s="183" t="s">
        <v>639</v>
      </c>
      <c r="D368" s="192">
        <v>1125000000</v>
      </c>
      <c r="E368" s="192"/>
      <c r="F368" s="192"/>
      <c r="G368" s="192">
        <f>E368+F368</f>
        <v>0</v>
      </c>
      <c r="H368" s="24">
        <f>G368/D368</f>
        <v>0</v>
      </c>
      <c r="I368" s="225"/>
      <c r="J368" s="175"/>
    </row>
    <row r="369" spans="1:10" s="176" customFormat="1" ht="21" customHeight="1" x14ac:dyDescent="0.25">
      <c r="A369" s="40"/>
      <c r="B369" s="190"/>
      <c r="C369" s="183"/>
      <c r="D369" s="192"/>
      <c r="E369" s="192"/>
      <c r="F369" s="192"/>
      <c r="G369" s="192"/>
      <c r="H369" s="24"/>
      <c r="I369" s="225"/>
      <c r="J369" s="175"/>
    </row>
    <row r="370" spans="1:10" s="176" customFormat="1" ht="21" customHeight="1" x14ac:dyDescent="0.25">
      <c r="A370" s="40"/>
      <c r="B370" s="167" t="s">
        <v>19</v>
      </c>
      <c r="C370" s="185" t="s">
        <v>217</v>
      </c>
      <c r="D370" s="191">
        <f>D371</f>
        <v>0</v>
      </c>
      <c r="E370" s="191"/>
      <c r="F370" s="191">
        <f t="shared" ref="F370:G370" si="146">F371</f>
        <v>0</v>
      </c>
      <c r="G370" s="191">
        <f t="shared" si="146"/>
        <v>0</v>
      </c>
      <c r="H370" s="236" t="e">
        <f>G370/D370</f>
        <v>#DIV/0!</v>
      </c>
      <c r="I370" s="225" t="s">
        <v>218</v>
      </c>
      <c r="J370" s="175"/>
    </row>
    <row r="371" spans="1:10" s="176" customFormat="1" ht="21" customHeight="1" x14ac:dyDescent="0.25">
      <c r="A371" s="40"/>
      <c r="B371" s="190" t="s">
        <v>547</v>
      </c>
      <c r="C371" s="183" t="s">
        <v>217</v>
      </c>
      <c r="D371" s="192"/>
      <c r="E371" s="192"/>
      <c r="F371" s="192"/>
      <c r="G371" s="192">
        <f>E371+F371</f>
        <v>0</v>
      </c>
      <c r="H371" s="24" t="e">
        <f>G371/D371</f>
        <v>#DIV/0!</v>
      </c>
      <c r="I371" s="225"/>
      <c r="J371" s="175"/>
    </row>
    <row r="372" spans="1:10" s="176" customFormat="1" ht="21" customHeight="1" x14ac:dyDescent="0.25">
      <c r="A372" s="40"/>
      <c r="B372" s="190"/>
      <c r="C372" s="183"/>
      <c r="D372" s="192"/>
      <c r="E372" s="192"/>
      <c r="F372" s="192"/>
      <c r="G372" s="192"/>
      <c r="H372" s="236"/>
      <c r="I372" s="225"/>
      <c r="J372" s="175"/>
    </row>
    <row r="373" spans="1:10" s="176" customFormat="1" ht="21" customHeight="1" x14ac:dyDescent="0.25">
      <c r="A373" s="40"/>
      <c r="B373" s="167" t="s">
        <v>39</v>
      </c>
      <c r="C373" s="185" t="s">
        <v>219</v>
      </c>
      <c r="D373" s="191">
        <f>D374</f>
        <v>0</v>
      </c>
      <c r="E373" s="191"/>
      <c r="F373" s="191">
        <f t="shared" ref="F373:G373" si="147">F374</f>
        <v>0</v>
      </c>
      <c r="G373" s="191">
        <f t="shared" si="147"/>
        <v>0</v>
      </c>
      <c r="H373" s="236" t="e">
        <f>G373/D373</f>
        <v>#DIV/0!</v>
      </c>
      <c r="I373" s="225" t="s">
        <v>218</v>
      </c>
      <c r="J373" s="175"/>
    </row>
    <row r="374" spans="1:10" s="176" customFormat="1" ht="21" customHeight="1" x14ac:dyDescent="0.25">
      <c r="A374" s="40"/>
      <c r="B374" s="190" t="s">
        <v>548</v>
      </c>
      <c r="C374" s="183" t="s">
        <v>219</v>
      </c>
      <c r="D374" s="192"/>
      <c r="E374" s="192"/>
      <c r="F374" s="192"/>
      <c r="G374" s="192">
        <f>E374+F374</f>
        <v>0</v>
      </c>
      <c r="H374" s="24" t="e">
        <f>G374/D374</f>
        <v>#DIV/0!</v>
      </c>
      <c r="I374" s="225"/>
      <c r="J374" s="175"/>
    </row>
    <row r="375" spans="1:10" s="176" customFormat="1" ht="21" customHeight="1" x14ac:dyDescent="0.25">
      <c r="A375" s="40"/>
      <c r="B375" s="190"/>
      <c r="C375" s="183"/>
      <c r="D375" s="191"/>
      <c r="E375" s="191"/>
      <c r="F375" s="191"/>
      <c r="G375" s="192"/>
      <c r="H375" s="236"/>
      <c r="I375" s="225"/>
      <c r="J375" s="175"/>
    </row>
    <row r="376" spans="1:10" s="176" customFormat="1" x14ac:dyDescent="0.25">
      <c r="A376" s="40"/>
      <c r="B376" s="167" t="s">
        <v>46</v>
      </c>
      <c r="C376" s="35" t="s">
        <v>220</v>
      </c>
      <c r="D376" s="191">
        <f>SUM(D377)</f>
        <v>0</v>
      </c>
      <c r="E376" s="191"/>
      <c r="F376" s="191">
        <f t="shared" ref="F376:G376" si="148">SUM(F377)</f>
        <v>0</v>
      </c>
      <c r="G376" s="191">
        <f t="shared" si="148"/>
        <v>0</v>
      </c>
      <c r="H376" s="236" t="e">
        <f>G376/D376</f>
        <v>#DIV/0!</v>
      </c>
      <c r="I376" s="223"/>
      <c r="J376" s="175"/>
    </row>
    <row r="377" spans="1:10" s="176" customFormat="1" x14ac:dyDescent="0.25">
      <c r="A377" s="40"/>
      <c r="B377" s="190" t="s">
        <v>549</v>
      </c>
      <c r="C377" s="193" t="s">
        <v>220</v>
      </c>
      <c r="D377" s="192"/>
      <c r="E377" s="192"/>
      <c r="F377" s="192"/>
      <c r="G377" s="192">
        <f>E377+F377</f>
        <v>0</v>
      </c>
      <c r="H377" s="24" t="e">
        <f>G377/D377</f>
        <v>#DIV/0!</v>
      </c>
      <c r="I377" s="225" t="s">
        <v>218</v>
      </c>
      <c r="J377" s="175"/>
    </row>
    <row r="378" spans="1:10" s="176" customFormat="1" x14ac:dyDescent="0.25">
      <c r="A378" s="40"/>
      <c r="B378" s="190"/>
      <c r="C378" s="193"/>
      <c r="D378" s="192"/>
      <c r="E378" s="192"/>
      <c r="F378" s="192"/>
      <c r="G378" s="192"/>
      <c r="H378" s="24"/>
      <c r="I378" s="225"/>
      <c r="J378" s="175"/>
    </row>
    <row r="379" spans="1:10" s="176" customFormat="1" x14ac:dyDescent="0.25">
      <c r="A379" s="40"/>
      <c r="B379" s="167" t="s">
        <v>8</v>
      </c>
      <c r="C379" s="35" t="s">
        <v>221</v>
      </c>
      <c r="D379" s="191">
        <f>SUM(D380)</f>
        <v>0</v>
      </c>
      <c r="E379" s="191"/>
      <c r="F379" s="191">
        <f t="shared" ref="F379:G379" si="149">SUM(F380)</f>
        <v>0</v>
      </c>
      <c r="G379" s="191">
        <f t="shared" si="149"/>
        <v>0</v>
      </c>
      <c r="H379" s="236" t="e">
        <f>G379/D379</f>
        <v>#DIV/0!</v>
      </c>
      <c r="I379" s="223"/>
      <c r="J379" s="175"/>
    </row>
    <row r="380" spans="1:10" s="176" customFormat="1" x14ac:dyDescent="0.25">
      <c r="A380" s="40"/>
      <c r="B380" s="190" t="s">
        <v>550</v>
      </c>
      <c r="C380" s="193" t="s">
        <v>221</v>
      </c>
      <c r="D380" s="192"/>
      <c r="E380" s="192"/>
      <c r="F380" s="192"/>
      <c r="G380" s="192">
        <f>E380+F380</f>
        <v>0</v>
      </c>
      <c r="H380" s="24" t="e">
        <f>G380/D380</f>
        <v>#DIV/0!</v>
      </c>
      <c r="I380" s="225" t="s">
        <v>218</v>
      </c>
      <c r="J380" s="175"/>
    </row>
    <row r="381" spans="1:10" s="176" customFormat="1" x14ac:dyDescent="0.25">
      <c r="A381" s="40"/>
      <c r="B381" s="190"/>
      <c r="C381" s="193"/>
      <c r="D381" s="192"/>
      <c r="E381" s="192"/>
      <c r="F381" s="192"/>
      <c r="G381" s="192"/>
      <c r="H381" s="24"/>
      <c r="I381" s="225"/>
      <c r="J381" s="175"/>
    </row>
    <row r="382" spans="1:10" s="176" customFormat="1" x14ac:dyDescent="0.25">
      <c r="A382" s="40"/>
      <c r="B382" s="167" t="s">
        <v>49</v>
      </c>
      <c r="C382" s="35" t="s">
        <v>222</v>
      </c>
      <c r="D382" s="191">
        <f>SUM(D383:D388)</f>
        <v>0</v>
      </c>
      <c r="E382" s="191"/>
      <c r="F382" s="191">
        <f t="shared" ref="F382:G382" si="150">SUM(F383:F388)</f>
        <v>0</v>
      </c>
      <c r="G382" s="191">
        <f t="shared" si="150"/>
        <v>0</v>
      </c>
      <c r="H382" s="236" t="e">
        <f>G382/D382</f>
        <v>#DIV/0!</v>
      </c>
      <c r="I382" s="227"/>
      <c r="J382" s="175"/>
    </row>
    <row r="383" spans="1:10" s="176" customFormat="1" x14ac:dyDescent="0.25">
      <c r="A383" s="40"/>
      <c r="B383" s="190" t="s">
        <v>551</v>
      </c>
      <c r="C383" s="193" t="s">
        <v>223</v>
      </c>
      <c r="D383" s="192"/>
      <c r="E383" s="192"/>
      <c r="F383" s="192"/>
      <c r="G383" s="192">
        <f>E383+F383</f>
        <v>0</v>
      </c>
      <c r="H383" s="24" t="e">
        <f>G383/D383</f>
        <v>#DIV/0!</v>
      </c>
      <c r="I383" s="225" t="s">
        <v>218</v>
      </c>
      <c r="J383" s="175"/>
    </row>
    <row r="384" spans="1:10" s="176" customFormat="1" x14ac:dyDescent="0.25">
      <c r="A384" s="40"/>
      <c r="B384" s="190" t="s">
        <v>552</v>
      </c>
      <c r="C384" s="193" t="s">
        <v>227</v>
      </c>
      <c r="D384" s="192"/>
      <c r="E384" s="192"/>
      <c r="F384" s="192"/>
      <c r="G384" s="192">
        <f t="shared" ref="G384:G391" si="151">E384+F384</f>
        <v>0</v>
      </c>
      <c r="H384" s="24" t="e">
        <f>G384/D384</f>
        <v>#DIV/0!</v>
      </c>
      <c r="I384" s="225" t="s">
        <v>216</v>
      </c>
      <c r="J384" s="175"/>
    </row>
    <row r="385" spans="1:10" s="176" customFormat="1" x14ac:dyDescent="0.25">
      <c r="A385" s="40"/>
      <c r="B385" s="190" t="s">
        <v>553</v>
      </c>
      <c r="C385" s="193" t="s">
        <v>224</v>
      </c>
      <c r="D385" s="192"/>
      <c r="E385" s="192"/>
      <c r="F385" s="192"/>
      <c r="G385" s="192">
        <f t="shared" si="151"/>
        <v>0</v>
      </c>
      <c r="H385" s="24" t="e">
        <f>G385/D385</f>
        <v>#DIV/0!</v>
      </c>
      <c r="I385" s="225" t="s">
        <v>218</v>
      </c>
      <c r="J385" s="175"/>
    </row>
    <row r="386" spans="1:10" s="176" customFormat="1" ht="18" hidden="1" customHeight="1" x14ac:dyDescent="0.25">
      <c r="A386" s="40"/>
      <c r="B386" s="52"/>
      <c r="C386" s="193" t="s">
        <v>225</v>
      </c>
      <c r="D386" s="192"/>
      <c r="E386" s="192"/>
      <c r="F386" s="192"/>
      <c r="G386" s="192">
        <f t="shared" si="151"/>
        <v>0</v>
      </c>
      <c r="H386" s="24">
        <v>0</v>
      </c>
      <c r="I386" s="223"/>
      <c r="J386" s="175"/>
    </row>
    <row r="387" spans="1:10" s="176" customFormat="1" x14ac:dyDescent="0.25">
      <c r="A387" s="40"/>
      <c r="B387" s="190" t="s">
        <v>554</v>
      </c>
      <c r="C387" s="193" t="s">
        <v>226</v>
      </c>
      <c r="D387" s="192"/>
      <c r="E387" s="192"/>
      <c r="F387" s="192"/>
      <c r="G387" s="192">
        <f t="shared" si="151"/>
        <v>0</v>
      </c>
      <c r="H387" s="24" t="e">
        <f>G387/D387</f>
        <v>#DIV/0!</v>
      </c>
      <c r="I387" s="225" t="s">
        <v>216</v>
      </c>
      <c r="J387" s="175"/>
    </row>
    <row r="388" spans="1:10" s="176" customFormat="1" x14ac:dyDescent="0.25">
      <c r="A388" s="40"/>
      <c r="B388" s="190" t="s">
        <v>386</v>
      </c>
      <c r="C388" s="193" t="s">
        <v>228</v>
      </c>
      <c r="D388" s="192"/>
      <c r="E388" s="192"/>
      <c r="F388" s="192"/>
      <c r="G388" s="192">
        <f t="shared" si="151"/>
        <v>0</v>
      </c>
      <c r="H388" s="24"/>
      <c r="I388" s="225" t="s">
        <v>216</v>
      </c>
      <c r="J388" s="175"/>
    </row>
    <row r="389" spans="1:10" s="176" customFormat="1" x14ac:dyDescent="0.25">
      <c r="A389" s="40"/>
      <c r="B389" s="190"/>
      <c r="C389" s="193"/>
      <c r="D389" s="192"/>
      <c r="E389" s="192"/>
      <c r="F389" s="192"/>
      <c r="G389" s="192">
        <f t="shared" si="151"/>
        <v>0</v>
      </c>
      <c r="H389" s="24"/>
      <c r="I389" s="225"/>
      <c r="J389" s="175"/>
    </row>
    <row r="390" spans="1:10" s="176" customFormat="1" x14ac:dyDescent="0.25">
      <c r="A390" s="40"/>
      <c r="B390" s="167" t="s">
        <v>53</v>
      </c>
      <c r="C390" s="35" t="s">
        <v>229</v>
      </c>
      <c r="D390" s="191">
        <f>SUM(D391)</f>
        <v>0</v>
      </c>
      <c r="E390" s="191"/>
      <c r="F390" s="191">
        <f>SUM(F391)</f>
        <v>0</v>
      </c>
      <c r="G390" s="192">
        <f t="shared" si="151"/>
        <v>0</v>
      </c>
      <c r="H390" s="253" t="e">
        <f>G390/D390</f>
        <v>#DIV/0!</v>
      </c>
      <c r="I390" s="223"/>
      <c r="J390" s="175"/>
    </row>
    <row r="391" spans="1:10" s="176" customFormat="1" x14ac:dyDescent="0.25">
      <c r="A391" s="40"/>
      <c r="B391" s="190" t="s">
        <v>387</v>
      </c>
      <c r="C391" s="193" t="s">
        <v>229</v>
      </c>
      <c r="D391" s="192">
        <v>0</v>
      </c>
      <c r="E391" s="192"/>
      <c r="F391" s="192"/>
      <c r="G391" s="192">
        <f t="shared" si="151"/>
        <v>0</v>
      </c>
      <c r="H391" s="252" t="e">
        <f>G391/D391</f>
        <v>#DIV/0!</v>
      </c>
      <c r="I391" s="225" t="s">
        <v>216</v>
      </c>
      <c r="J391" s="175"/>
    </row>
    <row r="392" spans="1:10" s="176" customFormat="1" x14ac:dyDescent="0.25">
      <c r="A392" s="40"/>
      <c r="B392" s="190"/>
      <c r="C392" s="193"/>
      <c r="D392" s="192"/>
      <c r="E392" s="192"/>
      <c r="F392" s="192"/>
      <c r="G392" s="192"/>
      <c r="H392" s="24"/>
      <c r="I392" s="225"/>
      <c r="J392" s="175"/>
    </row>
    <row r="393" spans="1:10" s="176" customFormat="1" x14ac:dyDescent="0.25">
      <c r="A393" s="40"/>
      <c r="B393" s="167" t="s">
        <v>62</v>
      </c>
      <c r="C393" s="35" t="s">
        <v>230</v>
      </c>
      <c r="D393" s="191">
        <f>SUM(D394)</f>
        <v>0</v>
      </c>
      <c r="E393" s="191"/>
      <c r="F393" s="191">
        <f t="shared" ref="F393:G393" si="152">SUM(F394)</f>
        <v>0</v>
      </c>
      <c r="G393" s="191">
        <f t="shared" si="152"/>
        <v>0</v>
      </c>
      <c r="H393" s="236" t="e">
        <f>G393/D393</f>
        <v>#DIV/0!</v>
      </c>
      <c r="I393" s="223"/>
      <c r="J393" s="175"/>
    </row>
    <row r="394" spans="1:10" s="176" customFormat="1" x14ac:dyDescent="0.25">
      <c r="A394" s="40"/>
      <c r="B394" s="190" t="s">
        <v>555</v>
      </c>
      <c r="C394" s="193" t="s">
        <v>230</v>
      </c>
      <c r="D394" s="192"/>
      <c r="E394" s="192"/>
      <c r="F394" s="192"/>
      <c r="G394" s="192">
        <f>E394+F394</f>
        <v>0</v>
      </c>
      <c r="H394" s="24" t="e">
        <f>G394/D394</f>
        <v>#DIV/0!</v>
      </c>
      <c r="I394" s="225" t="s">
        <v>216</v>
      </c>
      <c r="J394" s="175"/>
    </row>
    <row r="395" spans="1:10" s="176" customFormat="1" x14ac:dyDescent="0.25">
      <c r="A395" s="40"/>
      <c r="B395" s="190"/>
      <c r="C395" s="193"/>
      <c r="D395" s="192"/>
      <c r="E395" s="192"/>
      <c r="F395" s="192"/>
      <c r="G395" s="192"/>
      <c r="H395" s="24"/>
      <c r="I395" s="225"/>
      <c r="J395" s="175"/>
    </row>
    <row r="396" spans="1:10" s="176" customFormat="1" x14ac:dyDescent="0.25">
      <c r="A396" s="40"/>
      <c r="B396" s="167" t="s">
        <v>66</v>
      </c>
      <c r="C396" s="35" t="s">
        <v>231</v>
      </c>
      <c r="D396" s="191">
        <f>SUM(D397)</f>
        <v>0</v>
      </c>
      <c r="E396" s="191"/>
      <c r="F396" s="191">
        <f t="shared" ref="F396:G396" si="153">SUM(F397)</f>
        <v>0</v>
      </c>
      <c r="G396" s="191">
        <f t="shared" si="153"/>
        <v>0</v>
      </c>
      <c r="H396" s="236" t="e">
        <f>G396/D396</f>
        <v>#DIV/0!</v>
      </c>
      <c r="I396" s="223"/>
      <c r="J396" s="175"/>
    </row>
    <row r="397" spans="1:10" s="176" customFormat="1" x14ac:dyDescent="0.25">
      <c r="A397" s="40"/>
      <c r="B397" s="190" t="s">
        <v>556</v>
      </c>
      <c r="C397" s="193" t="s">
        <v>231</v>
      </c>
      <c r="D397" s="192"/>
      <c r="E397" s="192"/>
      <c r="F397" s="192"/>
      <c r="G397" s="192">
        <f>E397+F397</f>
        <v>0</v>
      </c>
      <c r="H397" s="24" t="e">
        <f>G397/D397</f>
        <v>#DIV/0!</v>
      </c>
      <c r="I397" s="225" t="s">
        <v>216</v>
      </c>
      <c r="J397" s="175"/>
    </row>
    <row r="398" spans="1:10" s="176" customFormat="1" x14ac:dyDescent="0.25">
      <c r="A398" s="40"/>
      <c r="B398" s="190"/>
      <c r="C398" s="193"/>
      <c r="D398" s="192"/>
      <c r="E398" s="192"/>
      <c r="F398" s="192"/>
      <c r="G398" s="192"/>
      <c r="H398" s="24"/>
      <c r="I398" s="225"/>
      <c r="J398" s="175"/>
    </row>
    <row r="399" spans="1:10" s="176" customFormat="1" x14ac:dyDescent="0.25">
      <c r="A399" s="40"/>
      <c r="B399" s="167" t="s">
        <v>73</v>
      </c>
      <c r="C399" s="185" t="s">
        <v>232</v>
      </c>
      <c r="D399" s="191">
        <f>D400</f>
        <v>0</v>
      </c>
      <c r="E399" s="191"/>
      <c r="F399" s="191">
        <f t="shared" ref="F399:G399" si="154">SUM(F400)</f>
        <v>0</v>
      </c>
      <c r="G399" s="191">
        <f t="shared" si="154"/>
        <v>0</v>
      </c>
      <c r="H399" s="236" t="e">
        <f>G399/D399</f>
        <v>#DIV/0!</v>
      </c>
      <c r="I399" s="225"/>
      <c r="J399" s="175"/>
    </row>
    <row r="400" spans="1:10" s="176" customFormat="1" x14ac:dyDescent="0.25">
      <c r="A400" s="40"/>
      <c r="B400" s="190" t="s">
        <v>557</v>
      </c>
      <c r="C400" s="183" t="s">
        <v>232</v>
      </c>
      <c r="D400" s="192"/>
      <c r="E400" s="192"/>
      <c r="F400" s="192"/>
      <c r="G400" s="192">
        <f>E400+F400</f>
        <v>0</v>
      </c>
      <c r="H400" s="24" t="e">
        <f>G400/D400</f>
        <v>#DIV/0!</v>
      </c>
      <c r="I400" s="225" t="s">
        <v>216</v>
      </c>
      <c r="J400" s="175"/>
    </row>
    <row r="401" spans="1:14" s="176" customFormat="1" x14ac:dyDescent="0.25">
      <c r="A401" s="40"/>
      <c r="B401" s="190"/>
      <c r="C401" s="183"/>
      <c r="D401" s="192"/>
      <c r="E401" s="192"/>
      <c r="F401" s="192"/>
      <c r="G401" s="192"/>
      <c r="H401" s="24"/>
      <c r="I401" s="225"/>
      <c r="J401" s="175"/>
    </row>
    <row r="402" spans="1:14" s="176" customFormat="1" x14ac:dyDescent="0.25">
      <c r="A402" s="40"/>
      <c r="B402" s="167" t="s">
        <v>74</v>
      </c>
      <c r="C402" s="185" t="s">
        <v>233</v>
      </c>
      <c r="D402" s="191">
        <f>D403</f>
        <v>0</v>
      </c>
      <c r="E402" s="191"/>
      <c r="F402" s="191">
        <f t="shared" ref="F402:G402" si="155">SUM(F403)</f>
        <v>0</v>
      </c>
      <c r="G402" s="191">
        <f t="shared" si="155"/>
        <v>0</v>
      </c>
      <c r="H402" s="236" t="e">
        <f>G402/D402</f>
        <v>#DIV/0!</v>
      </c>
      <c r="I402" s="225"/>
      <c r="J402" s="175"/>
    </row>
    <row r="403" spans="1:14" s="176" customFormat="1" x14ac:dyDescent="0.25">
      <c r="A403" s="40"/>
      <c r="B403" s="190" t="s">
        <v>558</v>
      </c>
      <c r="C403" s="183" t="s">
        <v>233</v>
      </c>
      <c r="D403" s="192"/>
      <c r="E403" s="192"/>
      <c r="F403" s="192"/>
      <c r="G403" s="192">
        <f>E403+F403</f>
        <v>0</v>
      </c>
      <c r="H403" s="24" t="e">
        <f>G403/D403</f>
        <v>#DIV/0!</v>
      </c>
      <c r="I403" s="225" t="s">
        <v>216</v>
      </c>
      <c r="J403" s="175"/>
    </row>
    <row r="404" spans="1:14" s="176" customFormat="1" x14ac:dyDescent="0.25">
      <c r="A404" s="40"/>
      <c r="B404" s="22"/>
      <c r="C404" s="183"/>
      <c r="D404" s="192"/>
      <c r="E404" s="192"/>
      <c r="F404" s="192"/>
      <c r="G404" s="192"/>
      <c r="H404" s="24"/>
      <c r="I404" s="225"/>
      <c r="J404" s="175"/>
    </row>
    <row r="405" spans="1:14" s="176" customFormat="1" x14ac:dyDescent="0.25">
      <c r="A405" s="40"/>
      <c r="B405" s="167" t="s">
        <v>81</v>
      </c>
      <c r="C405" s="185" t="s">
        <v>234</v>
      </c>
      <c r="D405" s="191">
        <f>D406</f>
        <v>0</v>
      </c>
      <c r="E405" s="191"/>
      <c r="F405" s="191">
        <f t="shared" ref="F405:G405" si="156">SUM(F406)</f>
        <v>0</v>
      </c>
      <c r="G405" s="191">
        <f t="shared" si="156"/>
        <v>0</v>
      </c>
      <c r="H405" s="236" t="e">
        <f>G405/D405</f>
        <v>#DIV/0!</v>
      </c>
      <c r="I405" s="225"/>
      <c r="J405" s="175"/>
    </row>
    <row r="406" spans="1:14" s="176" customFormat="1" x14ac:dyDescent="0.25">
      <c r="A406" s="40"/>
      <c r="B406" s="190" t="s">
        <v>559</v>
      </c>
      <c r="C406" s="183" t="s">
        <v>234</v>
      </c>
      <c r="D406" s="192"/>
      <c r="E406" s="192"/>
      <c r="F406" s="192"/>
      <c r="G406" s="192">
        <f>E406+F406</f>
        <v>0</v>
      </c>
      <c r="H406" s="24" t="e">
        <f>G406/D406</f>
        <v>#DIV/0!</v>
      </c>
      <c r="I406" s="225" t="s">
        <v>216</v>
      </c>
      <c r="J406" s="175"/>
    </row>
    <row r="407" spans="1:14" s="176" customFormat="1" x14ac:dyDescent="0.25">
      <c r="A407" s="40"/>
      <c r="B407" s="22"/>
      <c r="C407" s="183"/>
      <c r="D407" s="192"/>
      <c r="E407" s="192"/>
      <c r="F407" s="192"/>
      <c r="G407" s="191"/>
      <c r="H407" s="236"/>
      <c r="I407" s="223"/>
      <c r="J407" s="175"/>
    </row>
    <row r="408" spans="1:14" s="176" customFormat="1" ht="36.75" customHeight="1" x14ac:dyDescent="0.25">
      <c r="A408" s="132" t="s">
        <v>91</v>
      </c>
      <c r="B408" s="133" t="s">
        <v>396</v>
      </c>
      <c r="C408" s="130" t="s">
        <v>236</v>
      </c>
      <c r="D408" s="131">
        <f>D409</f>
        <v>0</v>
      </c>
      <c r="E408" s="131"/>
      <c r="F408" s="131">
        <f t="shared" ref="F408:G409" si="157">F409</f>
        <v>0</v>
      </c>
      <c r="G408" s="131">
        <f t="shared" si="157"/>
        <v>0</v>
      </c>
      <c r="H408" s="239" t="e">
        <f>G408/D408</f>
        <v>#DIV/0!</v>
      </c>
      <c r="I408" s="225" t="s">
        <v>237</v>
      </c>
      <c r="J408" s="175"/>
    </row>
    <row r="409" spans="1:14" s="176" customFormat="1" ht="36.75" customHeight="1" x14ac:dyDescent="0.25">
      <c r="A409" s="122"/>
      <c r="B409" s="189" t="s">
        <v>397</v>
      </c>
      <c r="C409" s="35" t="s">
        <v>236</v>
      </c>
      <c r="D409" s="121">
        <f>D410</f>
        <v>0</v>
      </c>
      <c r="E409" s="121"/>
      <c r="F409" s="121">
        <f t="shared" si="157"/>
        <v>0</v>
      </c>
      <c r="G409" s="121">
        <f t="shared" si="157"/>
        <v>0</v>
      </c>
      <c r="H409" s="236" t="e">
        <f>G409/D409</f>
        <v>#DIV/0!</v>
      </c>
      <c r="I409" s="225"/>
      <c r="J409" s="175"/>
    </row>
    <row r="410" spans="1:14" s="176" customFormat="1" x14ac:dyDescent="0.25">
      <c r="A410" s="40"/>
      <c r="B410" s="189" t="s">
        <v>560</v>
      </c>
      <c r="C410" s="35" t="s">
        <v>236</v>
      </c>
      <c r="D410" s="121"/>
      <c r="E410" s="121"/>
      <c r="F410" s="121"/>
      <c r="G410" s="191">
        <f>E410+F410</f>
        <v>0</v>
      </c>
      <c r="H410" s="236" t="e">
        <f>G410/D410</f>
        <v>#DIV/0!</v>
      </c>
      <c r="I410" s="223"/>
      <c r="J410" s="175"/>
      <c r="N410" s="176" t="s">
        <v>580</v>
      </c>
    </row>
    <row r="411" spans="1:14" s="176" customFormat="1" ht="35.65" customHeight="1" x14ac:dyDescent="0.25">
      <c r="A411" s="40"/>
      <c r="B411" s="178"/>
      <c r="C411" s="54" t="s">
        <v>238</v>
      </c>
      <c r="D411" s="55"/>
      <c r="E411" s="55"/>
      <c r="F411" s="55"/>
      <c r="G411" s="192">
        <f>F411-D411</f>
        <v>0</v>
      </c>
      <c r="H411" s="24"/>
      <c r="I411" s="225"/>
      <c r="J411" s="175"/>
    </row>
    <row r="412" spans="1:14" s="176" customFormat="1" ht="37.15" customHeight="1" x14ac:dyDescent="0.25">
      <c r="A412" s="40"/>
      <c r="B412" s="178"/>
      <c r="C412" s="54" t="s">
        <v>239</v>
      </c>
      <c r="D412" s="55"/>
      <c r="E412" s="55"/>
      <c r="F412" s="55"/>
      <c r="G412" s="192">
        <f>F412-D412</f>
        <v>0</v>
      </c>
      <c r="H412" s="24"/>
      <c r="I412" s="225"/>
      <c r="J412" s="175"/>
    </row>
    <row r="413" spans="1:14" s="176" customFormat="1" ht="39" customHeight="1" x14ac:dyDescent="0.25">
      <c r="A413" s="40"/>
      <c r="B413" s="178"/>
      <c r="C413" s="54" t="s">
        <v>240</v>
      </c>
      <c r="D413" s="55"/>
      <c r="E413" s="55"/>
      <c r="F413" s="55"/>
      <c r="G413" s="192">
        <f>F413-D413</f>
        <v>0</v>
      </c>
      <c r="H413" s="24"/>
      <c r="I413" s="225"/>
      <c r="J413" s="175"/>
    </row>
    <row r="414" spans="1:14" s="176" customFormat="1" x14ac:dyDescent="0.25">
      <c r="A414" s="56"/>
      <c r="B414" s="57"/>
      <c r="C414" s="58"/>
      <c r="D414" s="192"/>
      <c r="E414" s="192"/>
      <c r="F414" s="192"/>
      <c r="G414" s="191"/>
      <c r="H414" s="236"/>
      <c r="I414" s="228"/>
      <c r="J414" s="175"/>
    </row>
    <row r="415" spans="1:14" s="176" customFormat="1" ht="25.5" customHeight="1" x14ac:dyDescent="0.25">
      <c r="A415" s="134" t="s">
        <v>417</v>
      </c>
      <c r="B415" s="135" t="s">
        <v>398</v>
      </c>
      <c r="C415" s="136" t="s">
        <v>399</v>
      </c>
      <c r="D415" s="137">
        <f>SUM(D416+D429)</f>
        <v>105229329081</v>
      </c>
      <c r="E415" s="137"/>
      <c r="F415" s="137">
        <f t="shared" ref="F415:G415" si="158">SUM(F416+F429)</f>
        <v>0</v>
      </c>
      <c r="G415" s="137">
        <f t="shared" si="158"/>
        <v>0</v>
      </c>
      <c r="H415" s="238">
        <f t="shared" ref="H415:H427" si="159">G415/D415</f>
        <v>0</v>
      </c>
      <c r="I415" s="229"/>
      <c r="J415" s="175"/>
    </row>
    <row r="416" spans="1:14" s="176" customFormat="1" ht="25.5" customHeight="1" x14ac:dyDescent="0.25">
      <c r="A416" s="169" t="s">
        <v>426</v>
      </c>
      <c r="B416" s="189" t="s">
        <v>400</v>
      </c>
      <c r="C416" s="185" t="s">
        <v>401</v>
      </c>
      <c r="D416" s="191">
        <f>D417</f>
        <v>105229329081</v>
      </c>
      <c r="E416" s="191"/>
      <c r="F416" s="191">
        <f t="shared" ref="F416:G416" si="160">F417</f>
        <v>0</v>
      </c>
      <c r="G416" s="191">
        <f t="shared" si="160"/>
        <v>0</v>
      </c>
      <c r="H416" s="236">
        <f t="shared" si="159"/>
        <v>0</v>
      </c>
      <c r="I416" s="230"/>
      <c r="J416" s="175"/>
    </row>
    <row r="417" spans="1:10" s="176" customFormat="1" ht="25.5" customHeight="1" x14ac:dyDescent="0.25">
      <c r="A417" s="169"/>
      <c r="B417" s="189" t="s">
        <v>402</v>
      </c>
      <c r="C417" s="185" t="s">
        <v>403</v>
      </c>
      <c r="D417" s="191">
        <f>SUM(D418:D427)</f>
        <v>105229329081</v>
      </c>
      <c r="E417" s="191"/>
      <c r="F417" s="191">
        <f t="shared" ref="F417:G417" si="161">SUM(F418:F427)</f>
        <v>0</v>
      </c>
      <c r="G417" s="191">
        <f t="shared" si="161"/>
        <v>0</v>
      </c>
      <c r="H417" s="236">
        <f t="shared" si="159"/>
        <v>0</v>
      </c>
      <c r="I417" s="230"/>
      <c r="J417" s="175"/>
    </row>
    <row r="418" spans="1:10" s="176" customFormat="1" ht="25.5" customHeight="1" x14ac:dyDescent="0.25">
      <c r="A418" s="184" t="s">
        <v>89</v>
      </c>
      <c r="B418" s="190" t="s">
        <v>561</v>
      </c>
      <c r="C418" s="183" t="s">
        <v>244</v>
      </c>
      <c r="D418" s="178">
        <v>26706000000</v>
      </c>
      <c r="E418" s="178"/>
      <c r="F418" s="178"/>
      <c r="G418" s="192">
        <f>E418+F418</f>
        <v>0</v>
      </c>
      <c r="H418" s="24">
        <f t="shared" si="159"/>
        <v>0</v>
      </c>
      <c r="I418" s="231"/>
      <c r="J418" s="175"/>
    </row>
    <row r="419" spans="1:10" s="176" customFormat="1" ht="25.5" customHeight="1" x14ac:dyDescent="0.25">
      <c r="A419" s="188"/>
      <c r="B419" s="178"/>
      <c r="C419" s="193" t="s">
        <v>664</v>
      </c>
      <c r="D419" s="55"/>
      <c r="E419" s="55"/>
      <c r="F419" s="55"/>
      <c r="G419" s="192">
        <f t="shared" ref="G419:G427" si="162">E419+F419</f>
        <v>0</v>
      </c>
      <c r="H419" s="24" t="e">
        <f t="shared" si="159"/>
        <v>#DIV/0!</v>
      </c>
      <c r="I419" s="231"/>
      <c r="J419" s="175"/>
    </row>
    <row r="420" spans="1:10" s="176" customFormat="1" ht="25.5" customHeight="1" x14ac:dyDescent="0.25">
      <c r="A420" s="184" t="s">
        <v>91</v>
      </c>
      <c r="B420" s="190" t="s">
        <v>562</v>
      </c>
      <c r="C420" s="183" t="s">
        <v>245</v>
      </c>
      <c r="D420" s="178">
        <v>16184831606</v>
      </c>
      <c r="E420" s="178"/>
      <c r="F420" s="178"/>
      <c r="G420" s="192">
        <f t="shared" si="162"/>
        <v>0</v>
      </c>
      <c r="H420" s="24">
        <f t="shared" si="159"/>
        <v>0</v>
      </c>
      <c r="I420" s="231"/>
      <c r="J420" s="175"/>
    </row>
    <row r="421" spans="1:10" s="176" customFormat="1" ht="25.5" customHeight="1" x14ac:dyDescent="0.25">
      <c r="A421" s="188"/>
      <c r="B421" s="178"/>
      <c r="C421" s="193" t="s">
        <v>665</v>
      </c>
      <c r="D421" s="55"/>
      <c r="E421" s="55"/>
      <c r="F421" s="55"/>
      <c r="G421" s="192">
        <f t="shared" si="162"/>
        <v>0</v>
      </c>
      <c r="H421" s="24" t="e">
        <f t="shared" si="159"/>
        <v>#DIV/0!</v>
      </c>
      <c r="I421" s="232"/>
      <c r="J421" s="175"/>
    </row>
    <row r="422" spans="1:10" s="176" customFormat="1" ht="25.5" customHeight="1" x14ac:dyDescent="0.25">
      <c r="A422" s="184" t="s">
        <v>72</v>
      </c>
      <c r="B422" s="190" t="s">
        <v>563</v>
      </c>
      <c r="C422" s="183" t="s">
        <v>246</v>
      </c>
      <c r="D422" s="178">
        <v>45000000000</v>
      </c>
      <c r="E422" s="178"/>
      <c r="F422" s="178"/>
      <c r="G422" s="192">
        <f t="shared" si="162"/>
        <v>0</v>
      </c>
      <c r="H422" s="24">
        <f t="shared" si="159"/>
        <v>0</v>
      </c>
      <c r="I422" s="232"/>
      <c r="J422" s="175"/>
    </row>
    <row r="423" spans="1:10" s="176" customFormat="1" ht="25.5" customHeight="1" x14ac:dyDescent="0.25">
      <c r="A423" s="188"/>
      <c r="B423" s="178"/>
      <c r="C423" s="193" t="s">
        <v>666</v>
      </c>
      <c r="D423" s="55"/>
      <c r="E423" s="55"/>
      <c r="F423" s="55"/>
      <c r="G423" s="192">
        <f t="shared" si="162"/>
        <v>0</v>
      </c>
      <c r="H423" s="24" t="e">
        <f t="shared" si="159"/>
        <v>#DIV/0!</v>
      </c>
      <c r="I423" s="231"/>
      <c r="J423" s="175"/>
    </row>
    <row r="424" spans="1:10" s="176" customFormat="1" ht="25.5" customHeight="1" x14ac:dyDescent="0.25">
      <c r="A424" s="184" t="s">
        <v>168</v>
      </c>
      <c r="B424" s="190" t="s">
        <v>564</v>
      </c>
      <c r="C424" s="183" t="s">
        <v>247</v>
      </c>
      <c r="D424" s="192">
        <v>1534998000</v>
      </c>
      <c r="E424" s="192"/>
      <c r="F424" s="192"/>
      <c r="G424" s="192">
        <f t="shared" si="162"/>
        <v>0</v>
      </c>
      <c r="H424" s="24">
        <f t="shared" si="159"/>
        <v>0</v>
      </c>
      <c r="I424" s="233"/>
      <c r="J424" s="175"/>
    </row>
    <row r="425" spans="1:10" s="176" customFormat="1" ht="25.5" customHeight="1" x14ac:dyDescent="0.25">
      <c r="A425" s="188"/>
      <c r="B425" s="178"/>
      <c r="C425" s="193" t="s">
        <v>667</v>
      </c>
      <c r="D425" s="55"/>
      <c r="E425" s="55"/>
      <c r="F425" s="55"/>
      <c r="G425" s="192">
        <f t="shared" si="162"/>
        <v>0</v>
      </c>
      <c r="H425" s="24" t="e">
        <f t="shared" si="159"/>
        <v>#DIV/0!</v>
      </c>
      <c r="I425" s="232"/>
      <c r="J425" s="175"/>
    </row>
    <row r="426" spans="1:10" s="176" customFormat="1" ht="25.5" customHeight="1" x14ac:dyDescent="0.25">
      <c r="A426" s="184" t="s">
        <v>404</v>
      </c>
      <c r="B426" s="190" t="s">
        <v>565</v>
      </c>
      <c r="C426" s="183" t="s">
        <v>248</v>
      </c>
      <c r="D426" s="178">
        <v>15803499475</v>
      </c>
      <c r="E426" s="178"/>
      <c r="F426" s="178"/>
      <c r="G426" s="192">
        <f t="shared" si="162"/>
        <v>0</v>
      </c>
      <c r="H426" s="24">
        <f t="shared" si="159"/>
        <v>0</v>
      </c>
      <c r="I426" s="232"/>
      <c r="J426" s="175"/>
    </row>
    <row r="427" spans="1:10" s="176" customFormat="1" ht="25.5" customHeight="1" x14ac:dyDescent="0.25">
      <c r="A427" s="188"/>
      <c r="B427" s="178"/>
      <c r="C427" s="193" t="s">
        <v>668</v>
      </c>
      <c r="D427" s="55"/>
      <c r="E427" s="55"/>
      <c r="F427" s="55"/>
      <c r="G427" s="192">
        <f t="shared" si="162"/>
        <v>0</v>
      </c>
      <c r="H427" s="24" t="e">
        <f t="shared" si="159"/>
        <v>#DIV/0!</v>
      </c>
      <c r="I427" s="231"/>
      <c r="J427" s="175"/>
    </row>
    <row r="428" spans="1:10" s="176" customFormat="1" ht="25.5" customHeight="1" x14ac:dyDescent="0.25">
      <c r="A428" s="188"/>
      <c r="B428" s="178"/>
      <c r="C428" s="193"/>
      <c r="D428" s="55"/>
      <c r="E428" s="55"/>
      <c r="F428" s="55"/>
      <c r="G428" s="192"/>
      <c r="H428" s="24"/>
      <c r="I428" s="231"/>
      <c r="J428" s="175"/>
    </row>
    <row r="429" spans="1:10" s="176" customFormat="1" ht="25.5" customHeight="1" x14ac:dyDescent="0.25">
      <c r="A429" s="169" t="s">
        <v>163</v>
      </c>
      <c r="B429" s="189" t="s">
        <v>425</v>
      </c>
      <c r="C429" s="185" t="s">
        <v>428</v>
      </c>
      <c r="D429" s="53">
        <f>SUM(D430+D432)</f>
        <v>0</v>
      </c>
      <c r="E429" s="53"/>
      <c r="F429" s="53">
        <f t="shared" ref="F429:G429" si="163">SUM(F430+F432)</f>
        <v>0</v>
      </c>
      <c r="G429" s="53">
        <f t="shared" si="163"/>
        <v>0</v>
      </c>
      <c r="H429" s="236" t="e">
        <f>G429/D429</f>
        <v>#DIV/0!</v>
      </c>
      <c r="I429" s="231"/>
      <c r="J429" s="175"/>
    </row>
    <row r="430" spans="1:10" s="176" customFormat="1" ht="25.5" customHeight="1" x14ac:dyDescent="0.25">
      <c r="A430" s="188"/>
      <c r="B430" s="189" t="s">
        <v>429</v>
      </c>
      <c r="C430" s="185" t="s">
        <v>430</v>
      </c>
      <c r="D430" s="55">
        <f>D431</f>
        <v>0</v>
      </c>
      <c r="E430" s="55"/>
      <c r="F430" s="55">
        <f>F431</f>
        <v>0</v>
      </c>
      <c r="G430" s="192">
        <f>F430-D430</f>
        <v>0</v>
      </c>
      <c r="H430" s="24"/>
      <c r="I430" s="231"/>
      <c r="J430" s="175"/>
    </row>
    <row r="431" spans="1:10" s="176" customFormat="1" ht="25.5" customHeight="1" x14ac:dyDescent="0.25">
      <c r="A431" s="188"/>
      <c r="B431" s="189" t="s">
        <v>431</v>
      </c>
      <c r="C431" s="185" t="s">
        <v>432</v>
      </c>
      <c r="D431" s="55"/>
      <c r="E431" s="55"/>
      <c r="F431" s="55"/>
      <c r="G431" s="192">
        <f>F431-D431</f>
        <v>0</v>
      </c>
      <c r="H431" s="24"/>
      <c r="I431" s="231"/>
      <c r="J431" s="175"/>
    </row>
    <row r="432" spans="1:10" s="176" customFormat="1" ht="25.5" customHeight="1" x14ac:dyDescent="0.25">
      <c r="A432" s="188"/>
      <c r="B432" s="189" t="s">
        <v>433</v>
      </c>
      <c r="C432" s="185" t="s">
        <v>434</v>
      </c>
      <c r="D432" s="53">
        <f>D433+D435+D436</f>
        <v>0</v>
      </c>
      <c r="E432" s="53"/>
      <c r="F432" s="53">
        <f t="shared" ref="F432:G432" si="164">F433+F435+F436</f>
        <v>0</v>
      </c>
      <c r="G432" s="53">
        <f t="shared" si="164"/>
        <v>0</v>
      </c>
      <c r="H432" s="236" t="e">
        <f t="shared" ref="H432:H446" si="165">G432/D432</f>
        <v>#DIV/0!</v>
      </c>
      <c r="I432" s="231"/>
      <c r="J432" s="175"/>
    </row>
    <row r="433" spans="1:10" s="176" customFormat="1" ht="25.5" customHeight="1" x14ac:dyDescent="0.25">
      <c r="A433" s="188"/>
      <c r="B433" s="189" t="s">
        <v>566</v>
      </c>
      <c r="C433" s="185" t="s">
        <v>445</v>
      </c>
      <c r="D433" s="53">
        <f>D434</f>
        <v>0</v>
      </c>
      <c r="E433" s="53"/>
      <c r="F433" s="53">
        <f t="shared" ref="F433:G433" si="166">F434</f>
        <v>0</v>
      </c>
      <c r="G433" s="53">
        <f t="shared" si="166"/>
        <v>0</v>
      </c>
      <c r="H433" s="236" t="e">
        <f t="shared" si="165"/>
        <v>#DIV/0!</v>
      </c>
      <c r="I433" s="231"/>
      <c r="J433" s="175"/>
    </row>
    <row r="434" spans="1:10" s="176" customFormat="1" ht="25.5" customHeight="1" x14ac:dyDescent="0.25">
      <c r="A434" s="188"/>
      <c r="B434" s="189"/>
      <c r="C434" s="35" t="s">
        <v>602</v>
      </c>
      <c r="D434" s="53"/>
      <c r="E434" s="53"/>
      <c r="F434" s="53"/>
      <c r="G434" s="191">
        <f>E434+F434</f>
        <v>0</v>
      </c>
      <c r="H434" s="236" t="e">
        <f t="shared" si="165"/>
        <v>#DIV/0!</v>
      </c>
      <c r="I434" s="231"/>
      <c r="J434" s="175"/>
    </row>
    <row r="435" spans="1:10" s="176" customFormat="1" ht="25.5" customHeight="1" x14ac:dyDescent="0.25">
      <c r="A435" s="188"/>
      <c r="B435" s="189"/>
      <c r="C435" s="35" t="s">
        <v>603</v>
      </c>
      <c r="D435" s="53"/>
      <c r="E435" s="53"/>
      <c r="F435" s="53"/>
      <c r="G435" s="191">
        <f t="shared" ref="G435:G438" si="167">E435+F435</f>
        <v>0</v>
      </c>
      <c r="H435" s="236" t="e">
        <f t="shared" si="165"/>
        <v>#DIV/0!</v>
      </c>
      <c r="I435" s="231"/>
      <c r="J435" s="175"/>
    </row>
    <row r="436" spans="1:10" s="176" customFormat="1" ht="25.5" customHeight="1" x14ac:dyDescent="0.25">
      <c r="A436" s="188"/>
      <c r="B436" s="189"/>
      <c r="C436" s="35" t="s">
        <v>604</v>
      </c>
      <c r="D436" s="53">
        <f>SUM(D437:D438)</f>
        <v>0</v>
      </c>
      <c r="E436" s="53"/>
      <c r="F436" s="53">
        <f t="shared" ref="F436" si="168">SUM(F437:F438)</f>
        <v>0</v>
      </c>
      <c r="G436" s="191">
        <f t="shared" si="167"/>
        <v>0</v>
      </c>
      <c r="H436" s="236" t="e">
        <f t="shared" si="165"/>
        <v>#DIV/0!</v>
      </c>
      <c r="I436" s="231"/>
      <c r="J436" s="175"/>
    </row>
    <row r="437" spans="1:10" s="176" customFormat="1" ht="25.5" customHeight="1" x14ac:dyDescent="0.25">
      <c r="A437" s="188"/>
      <c r="B437" s="189"/>
      <c r="C437" s="193" t="s">
        <v>605</v>
      </c>
      <c r="D437" s="55"/>
      <c r="E437" s="55"/>
      <c r="F437" s="55"/>
      <c r="G437" s="191">
        <f t="shared" si="167"/>
        <v>0</v>
      </c>
      <c r="H437" s="24" t="e">
        <f t="shared" si="165"/>
        <v>#DIV/0!</v>
      </c>
      <c r="I437" s="231"/>
      <c r="J437" s="175"/>
    </row>
    <row r="438" spans="1:10" s="176" customFormat="1" ht="25.5" customHeight="1" x14ac:dyDescent="0.25">
      <c r="A438" s="188"/>
      <c r="B438" s="178"/>
      <c r="C438" s="193" t="s">
        <v>606</v>
      </c>
      <c r="D438" s="55"/>
      <c r="E438" s="55"/>
      <c r="F438" s="55"/>
      <c r="G438" s="191">
        <f t="shared" si="167"/>
        <v>0</v>
      </c>
      <c r="H438" s="24" t="e">
        <f t="shared" si="165"/>
        <v>#DIV/0!</v>
      </c>
      <c r="I438" s="231"/>
      <c r="J438" s="175"/>
    </row>
    <row r="439" spans="1:10" s="176" customFormat="1" ht="25.5" customHeight="1" x14ac:dyDescent="0.25">
      <c r="A439" s="129" t="s">
        <v>241</v>
      </c>
      <c r="B439" s="128" t="s">
        <v>242</v>
      </c>
      <c r="C439" s="41" t="s">
        <v>243</v>
      </c>
      <c r="D439" s="42">
        <f>D440</f>
        <v>0</v>
      </c>
      <c r="E439" s="42"/>
      <c r="F439" s="42">
        <f t="shared" ref="F439:G440" si="169">F440</f>
        <v>0</v>
      </c>
      <c r="G439" s="42">
        <f t="shared" si="169"/>
        <v>0</v>
      </c>
      <c r="H439" s="237" t="e">
        <f t="shared" si="165"/>
        <v>#DIV/0!</v>
      </c>
      <c r="I439" s="231"/>
      <c r="J439" s="175"/>
    </row>
    <row r="440" spans="1:10" s="176" customFormat="1" ht="41.25" customHeight="1" x14ac:dyDescent="0.25">
      <c r="A440" s="168" t="s">
        <v>166</v>
      </c>
      <c r="B440" s="189" t="s">
        <v>418</v>
      </c>
      <c r="C440" s="30" t="s">
        <v>419</v>
      </c>
      <c r="D440" s="191">
        <f>D441</f>
        <v>0</v>
      </c>
      <c r="E440" s="191"/>
      <c r="F440" s="191">
        <f t="shared" si="169"/>
        <v>0</v>
      </c>
      <c r="G440" s="191">
        <f t="shared" si="169"/>
        <v>0</v>
      </c>
      <c r="H440" s="236" t="e">
        <f t="shared" si="165"/>
        <v>#DIV/0!</v>
      </c>
      <c r="I440" s="231"/>
      <c r="J440" s="175"/>
    </row>
    <row r="441" spans="1:10" s="176" customFormat="1" ht="25.5" customHeight="1" x14ac:dyDescent="0.25">
      <c r="A441" s="169"/>
      <c r="B441" s="189" t="s">
        <v>420</v>
      </c>
      <c r="C441" s="185" t="s">
        <v>421</v>
      </c>
      <c r="D441" s="191">
        <f>D442+D456</f>
        <v>0</v>
      </c>
      <c r="E441" s="191"/>
      <c r="F441" s="191">
        <f t="shared" ref="F441:G441" si="170">F442+F456</f>
        <v>0</v>
      </c>
      <c r="G441" s="191">
        <f t="shared" si="170"/>
        <v>0</v>
      </c>
      <c r="H441" s="236" t="e">
        <f t="shared" si="165"/>
        <v>#DIV/0!</v>
      </c>
      <c r="I441" s="231"/>
      <c r="J441" s="175"/>
    </row>
    <row r="442" spans="1:10" s="176" customFormat="1" ht="25.5" customHeight="1" x14ac:dyDescent="0.25">
      <c r="A442" s="168" t="s">
        <v>89</v>
      </c>
      <c r="B442" s="189" t="s">
        <v>422</v>
      </c>
      <c r="C442" s="185" t="s">
        <v>423</v>
      </c>
      <c r="D442" s="191">
        <f>D443</f>
        <v>0</v>
      </c>
      <c r="E442" s="191"/>
      <c r="F442" s="191">
        <f t="shared" ref="F442:G442" si="171">F443</f>
        <v>0</v>
      </c>
      <c r="G442" s="191">
        <f t="shared" si="171"/>
        <v>0</v>
      </c>
      <c r="H442" s="236" t="e">
        <f t="shared" si="165"/>
        <v>#DIV/0!</v>
      </c>
      <c r="I442" s="231"/>
      <c r="J442" s="175"/>
    </row>
    <row r="443" spans="1:10" s="176" customFormat="1" ht="25.5" customHeight="1" x14ac:dyDescent="0.25">
      <c r="A443" s="169"/>
      <c r="B443" s="190" t="s">
        <v>424</v>
      </c>
      <c r="C443" s="183" t="s">
        <v>423</v>
      </c>
      <c r="D443" s="192"/>
      <c r="E443" s="192"/>
      <c r="F443" s="192"/>
      <c r="G443" s="192">
        <f>E443+F443</f>
        <v>0</v>
      </c>
      <c r="H443" s="24" t="e">
        <f t="shared" si="165"/>
        <v>#DIV/0!</v>
      </c>
      <c r="I443" s="231"/>
      <c r="J443" s="175"/>
    </row>
    <row r="444" spans="1:10" s="176" customFormat="1" ht="25.5" customHeight="1" x14ac:dyDescent="0.25">
      <c r="A444" s="169"/>
      <c r="B444" s="190"/>
      <c r="C444" s="193" t="s">
        <v>607</v>
      </c>
      <c r="D444" s="192"/>
      <c r="E444" s="192"/>
      <c r="F444" s="192"/>
      <c r="G444" s="192"/>
      <c r="H444" s="24" t="e">
        <f t="shared" si="165"/>
        <v>#DIV/0!</v>
      </c>
      <c r="I444" s="231"/>
      <c r="J444" s="175"/>
    </row>
    <row r="445" spans="1:10" s="176" customFormat="1" ht="25.5" customHeight="1" x14ac:dyDescent="0.25">
      <c r="A445" s="169"/>
      <c r="B445" s="190"/>
      <c r="C445" s="193" t="s">
        <v>608</v>
      </c>
      <c r="D445" s="192"/>
      <c r="E445" s="192"/>
      <c r="F445" s="192"/>
      <c r="G445" s="192"/>
      <c r="H445" s="24" t="e">
        <f t="shared" si="165"/>
        <v>#DIV/0!</v>
      </c>
      <c r="I445" s="231"/>
      <c r="J445" s="175"/>
    </row>
    <row r="446" spans="1:10" s="176" customFormat="1" ht="25.5" customHeight="1" x14ac:dyDescent="0.25">
      <c r="A446" s="169"/>
      <c r="B446" s="190"/>
      <c r="C446" s="193" t="s">
        <v>609</v>
      </c>
      <c r="D446" s="192"/>
      <c r="E446" s="192"/>
      <c r="F446" s="192"/>
      <c r="G446" s="192"/>
      <c r="H446" s="24" t="e">
        <f t="shared" si="165"/>
        <v>#DIV/0!</v>
      </c>
      <c r="I446" s="231"/>
      <c r="J446" s="175"/>
    </row>
    <row r="447" spans="1:10" s="176" customFormat="1" ht="25.5" customHeight="1" x14ac:dyDescent="0.25">
      <c r="A447" s="169"/>
      <c r="B447" s="190"/>
      <c r="C447" s="183" t="s">
        <v>610</v>
      </c>
      <c r="D447" s="192"/>
      <c r="E447" s="192"/>
      <c r="F447" s="192"/>
      <c r="G447" s="192"/>
      <c r="H447" s="24"/>
      <c r="I447" s="231"/>
      <c r="J447" s="175"/>
    </row>
    <row r="448" spans="1:10" s="176" customFormat="1" ht="25.5" customHeight="1" x14ac:dyDescent="0.25">
      <c r="A448" s="169"/>
      <c r="B448" s="190"/>
      <c r="C448" s="183" t="s">
        <v>611</v>
      </c>
      <c r="D448" s="192"/>
      <c r="E448" s="192"/>
      <c r="F448" s="192"/>
      <c r="G448" s="192"/>
      <c r="H448" s="24"/>
      <c r="I448" s="231"/>
      <c r="J448" s="175"/>
    </row>
    <row r="449" spans="1:10" s="176" customFormat="1" ht="25.5" customHeight="1" x14ac:dyDescent="0.25">
      <c r="A449" s="169"/>
      <c r="B449" s="190"/>
      <c r="C449" s="183" t="s">
        <v>612</v>
      </c>
      <c r="D449" s="192"/>
      <c r="E449" s="192"/>
      <c r="F449" s="192"/>
      <c r="G449" s="192"/>
      <c r="H449" s="24"/>
      <c r="I449" s="231"/>
      <c r="J449" s="175"/>
    </row>
    <row r="450" spans="1:10" s="176" customFormat="1" ht="25.5" customHeight="1" x14ac:dyDescent="0.25">
      <c r="A450" s="169"/>
      <c r="B450" s="190"/>
      <c r="C450" s="183" t="s">
        <v>613</v>
      </c>
      <c r="D450" s="192"/>
      <c r="E450" s="192"/>
      <c r="F450" s="192"/>
      <c r="G450" s="192"/>
      <c r="H450" s="24"/>
      <c r="I450" s="231"/>
      <c r="J450" s="175"/>
    </row>
    <row r="451" spans="1:10" s="176" customFormat="1" ht="25.5" customHeight="1" x14ac:dyDescent="0.25">
      <c r="A451" s="169"/>
      <c r="B451" s="190"/>
      <c r="C451" s="193" t="s">
        <v>614</v>
      </c>
      <c r="D451" s="192"/>
      <c r="E451" s="192"/>
      <c r="F451" s="192"/>
      <c r="G451" s="192"/>
      <c r="H451" s="24" t="e">
        <f>G451/D451</f>
        <v>#DIV/0!</v>
      </c>
      <c r="I451" s="231"/>
      <c r="J451" s="175"/>
    </row>
    <row r="452" spans="1:10" s="176" customFormat="1" ht="25.5" customHeight="1" x14ac:dyDescent="0.25">
      <c r="A452" s="169"/>
      <c r="B452" s="190"/>
      <c r="C452" s="183" t="s">
        <v>616</v>
      </c>
      <c r="D452" s="192"/>
      <c r="E452" s="192"/>
      <c r="F452" s="192"/>
      <c r="G452" s="192"/>
      <c r="H452" s="24"/>
      <c r="I452" s="231"/>
      <c r="J452" s="175"/>
    </row>
    <row r="453" spans="1:10" s="176" customFormat="1" ht="25.5" customHeight="1" x14ac:dyDescent="0.25">
      <c r="A453" s="169"/>
      <c r="B453" s="190"/>
      <c r="C453" s="183" t="s">
        <v>615</v>
      </c>
      <c r="D453" s="192"/>
      <c r="E453" s="192"/>
      <c r="F453" s="192"/>
      <c r="G453" s="192"/>
      <c r="H453" s="24"/>
      <c r="I453" s="231"/>
      <c r="J453" s="175"/>
    </row>
    <row r="454" spans="1:10" s="176" customFormat="1" ht="25.5" customHeight="1" x14ac:dyDescent="0.25">
      <c r="A454" s="169"/>
      <c r="B454" s="190"/>
      <c r="C454" s="183" t="s">
        <v>617</v>
      </c>
      <c r="D454" s="192"/>
      <c r="E454" s="192"/>
      <c r="F454" s="192"/>
      <c r="G454" s="192"/>
      <c r="H454" s="24"/>
      <c r="I454" s="231"/>
      <c r="J454" s="175"/>
    </row>
    <row r="455" spans="1:10" s="176" customFormat="1" ht="25.5" customHeight="1" x14ac:dyDescent="0.25">
      <c r="A455" s="169"/>
      <c r="B455" s="190"/>
      <c r="C455" s="183"/>
      <c r="D455" s="192"/>
      <c r="E455" s="192"/>
      <c r="F455" s="192"/>
      <c r="G455" s="192"/>
      <c r="H455" s="24"/>
      <c r="I455" s="231"/>
      <c r="J455" s="175"/>
    </row>
    <row r="456" spans="1:10" s="176" customFormat="1" ht="25.5" customHeight="1" x14ac:dyDescent="0.25">
      <c r="A456" s="168" t="s">
        <v>91</v>
      </c>
      <c r="B456" s="189" t="s">
        <v>618</v>
      </c>
      <c r="C456" s="185" t="s">
        <v>620</v>
      </c>
      <c r="D456" s="191">
        <f>D457</f>
        <v>0</v>
      </c>
      <c r="E456" s="191"/>
      <c r="F456" s="191">
        <f t="shared" ref="F456:G456" si="172">F457</f>
        <v>0</v>
      </c>
      <c r="G456" s="191">
        <f t="shared" si="172"/>
        <v>0</v>
      </c>
      <c r="H456" s="236" t="e">
        <f>G456/D456</f>
        <v>#DIV/0!</v>
      </c>
      <c r="I456" s="231"/>
      <c r="J456" s="175"/>
    </row>
    <row r="457" spans="1:10" s="176" customFormat="1" ht="32.25" customHeight="1" x14ac:dyDescent="0.25">
      <c r="A457" s="169"/>
      <c r="B457" s="190" t="s">
        <v>619</v>
      </c>
      <c r="C457" s="58" t="s">
        <v>621</v>
      </c>
      <c r="D457" s="192">
        <v>0</v>
      </c>
      <c r="E457" s="192"/>
      <c r="F457" s="192"/>
      <c r="G457" s="192"/>
      <c r="H457" s="24" t="e">
        <f>G457/D457</f>
        <v>#DIV/0!</v>
      </c>
      <c r="I457" s="231"/>
      <c r="J457" s="175"/>
    </row>
    <row r="458" spans="1:10" s="176" customFormat="1" ht="25.5" customHeight="1" x14ac:dyDescent="0.25">
      <c r="A458" s="169"/>
      <c r="B458" s="190"/>
      <c r="C458" s="183"/>
      <c r="D458" s="192"/>
      <c r="E458" s="192"/>
      <c r="F458" s="192"/>
      <c r="G458" s="192"/>
      <c r="H458" s="24"/>
      <c r="I458" s="231"/>
      <c r="J458" s="175"/>
    </row>
    <row r="459" spans="1:10" s="176" customFormat="1" ht="30.75" customHeight="1" thickBot="1" x14ac:dyDescent="0.3">
      <c r="A459" s="59"/>
      <c r="B459" s="60"/>
      <c r="C459" s="61" t="s">
        <v>249</v>
      </c>
      <c r="D459" s="62">
        <f>D11</f>
        <v>1141467482471</v>
      </c>
      <c r="E459" s="62">
        <f>E11</f>
        <v>88000958539.350006</v>
      </c>
      <c r="F459" s="62">
        <f t="shared" ref="F459:G459" si="173">F11</f>
        <v>66802458555.669998</v>
      </c>
      <c r="G459" s="62">
        <f t="shared" si="173"/>
        <v>154803417095.01999</v>
      </c>
      <c r="H459" s="242">
        <f>G459/D459</f>
        <v>0.13561789492233994</v>
      </c>
      <c r="I459" s="234"/>
      <c r="J459" s="175"/>
    </row>
    <row r="460" spans="1:10" s="176" customFormat="1" hidden="1" x14ac:dyDescent="0.25">
      <c r="A460" s="63"/>
      <c r="B460" s="64"/>
      <c r="C460" s="65"/>
      <c r="D460" s="66"/>
      <c r="E460" s="66"/>
      <c r="F460" s="66"/>
      <c r="G460" s="66"/>
      <c r="H460" s="66"/>
      <c r="I460" s="67" t="e">
        <f>SUM(F460/D460)</f>
        <v>#DIV/0!</v>
      </c>
      <c r="J460" s="175"/>
    </row>
    <row r="461" spans="1:10" s="176" customFormat="1" hidden="1" x14ac:dyDescent="0.25">
      <c r="A461" s="68" t="s">
        <v>250</v>
      </c>
      <c r="B461" s="69" t="s">
        <v>46</v>
      </c>
      <c r="C461" s="70" t="s">
        <v>251</v>
      </c>
      <c r="D461" s="71" t="e">
        <f>SUM(#REF!-#REF!)</f>
        <v>#REF!</v>
      </c>
      <c r="E461" s="71"/>
      <c r="F461" s="71" t="e">
        <f>SUM(#REF!-#REF!)</f>
        <v>#REF!</v>
      </c>
      <c r="G461" s="71"/>
      <c r="H461" s="71"/>
      <c r="I461" s="72" t="e">
        <f>SUM(F461/#REF!)</f>
        <v>#REF!</v>
      </c>
      <c r="J461" s="175"/>
    </row>
    <row r="462" spans="1:10" s="176" customFormat="1" hidden="1" x14ac:dyDescent="0.25">
      <c r="A462" s="68"/>
      <c r="B462" s="69" t="s">
        <v>252</v>
      </c>
      <c r="C462" s="70" t="s">
        <v>253</v>
      </c>
      <c r="D462" s="71" t="e">
        <f>SUM(#REF!-#REF!)</f>
        <v>#REF!</v>
      </c>
      <c r="E462" s="71"/>
      <c r="F462" s="71" t="e">
        <f>SUM(#REF!-#REF!)</f>
        <v>#REF!</v>
      </c>
      <c r="G462" s="71"/>
      <c r="H462" s="71"/>
      <c r="I462" s="72" t="e">
        <f>SUM(F462/#REF!)</f>
        <v>#REF!</v>
      </c>
      <c r="J462" s="175"/>
    </row>
    <row r="463" spans="1:10" s="176" customFormat="1" hidden="1" x14ac:dyDescent="0.25">
      <c r="A463" s="68"/>
      <c r="B463" s="69" t="s">
        <v>254</v>
      </c>
      <c r="C463" s="70" t="s">
        <v>255</v>
      </c>
      <c r="D463" s="71" t="e">
        <f>SUM(#REF!-#REF!)</f>
        <v>#REF!</v>
      </c>
      <c r="E463" s="71"/>
      <c r="F463" s="71" t="e">
        <f>SUM(#REF!-#REF!)</f>
        <v>#REF!</v>
      </c>
      <c r="G463" s="71"/>
      <c r="H463" s="71"/>
      <c r="I463" s="72" t="e">
        <f>SUM(F463/#REF!)</f>
        <v>#REF!</v>
      </c>
      <c r="J463" s="175"/>
    </row>
    <row r="464" spans="1:10" s="176" customFormat="1" hidden="1" x14ac:dyDescent="0.25">
      <c r="A464" s="68"/>
      <c r="B464" s="69" t="s">
        <v>256</v>
      </c>
      <c r="C464" s="70" t="s">
        <v>257</v>
      </c>
      <c r="D464" s="71" t="e">
        <f>SUM(#REF!-#REF!)</f>
        <v>#REF!</v>
      </c>
      <c r="E464" s="71"/>
      <c r="F464" s="71" t="e">
        <f>SUM(#REF!-#REF!)</f>
        <v>#REF!</v>
      </c>
      <c r="G464" s="71"/>
      <c r="H464" s="71"/>
      <c r="I464" s="72">
        <v>1</v>
      </c>
      <c r="J464" s="175"/>
    </row>
    <row r="465" spans="1:10" s="176" customFormat="1" hidden="1" x14ac:dyDescent="0.25">
      <c r="A465" s="68"/>
      <c r="B465" s="69" t="s">
        <v>258</v>
      </c>
      <c r="C465" s="70" t="s">
        <v>259</v>
      </c>
      <c r="D465" s="71" t="e">
        <f>SUM(#REF!-#REF!)</f>
        <v>#REF!</v>
      </c>
      <c r="E465" s="71"/>
      <c r="F465" s="71" t="e">
        <f>SUM(#REF!-#REF!)</f>
        <v>#REF!</v>
      </c>
      <c r="G465" s="71"/>
      <c r="H465" s="71"/>
      <c r="I465" s="72">
        <v>1</v>
      </c>
      <c r="J465" s="175"/>
    </row>
    <row r="466" spans="1:10" s="176" customFormat="1" hidden="1" x14ac:dyDescent="0.25">
      <c r="A466" s="68"/>
      <c r="B466" s="73" t="s">
        <v>260</v>
      </c>
      <c r="C466" s="74" t="s">
        <v>261</v>
      </c>
      <c r="D466" s="38" t="e">
        <f>SUM(#REF!-#REF!)</f>
        <v>#REF!</v>
      </c>
      <c r="E466" s="38"/>
      <c r="F466" s="38" t="e">
        <f>SUM(#REF!-#REF!)</f>
        <v>#REF!</v>
      </c>
      <c r="G466" s="38"/>
      <c r="H466" s="38"/>
      <c r="I466" s="75">
        <v>1</v>
      </c>
      <c r="J466" s="175"/>
    </row>
    <row r="467" spans="1:10" s="176" customFormat="1" hidden="1" x14ac:dyDescent="0.25">
      <c r="A467" s="68"/>
      <c r="B467" s="76"/>
      <c r="C467" s="74" t="s">
        <v>262</v>
      </c>
      <c r="D467" s="38" t="e">
        <f>SUM(#REF!-#REF!)</f>
        <v>#REF!</v>
      </c>
      <c r="E467" s="38"/>
      <c r="F467" s="38" t="e">
        <f>SUM(#REF!-#REF!)</f>
        <v>#REF!</v>
      </c>
      <c r="G467" s="38"/>
      <c r="H467" s="38"/>
      <c r="I467" s="75">
        <v>1</v>
      </c>
      <c r="J467" s="175"/>
    </row>
    <row r="468" spans="1:10" s="176" customFormat="1" ht="18" hidden="1" customHeight="1" x14ac:dyDescent="0.25">
      <c r="A468" s="68"/>
      <c r="B468" s="77"/>
      <c r="C468" s="78" t="s">
        <v>263</v>
      </c>
      <c r="D468" s="38" t="e">
        <f>SUM(#REF!-#REF!)</f>
        <v>#REF!</v>
      </c>
      <c r="E468" s="38"/>
      <c r="F468" s="38" t="e">
        <f>SUM(#REF!-#REF!)</f>
        <v>#REF!</v>
      </c>
      <c r="G468" s="38"/>
      <c r="H468" s="38"/>
      <c r="I468" s="72" t="e">
        <f>SUM(F468/#REF!)</f>
        <v>#REF!</v>
      </c>
      <c r="J468" s="175"/>
    </row>
    <row r="469" spans="1:10" s="175" customFormat="1" x14ac:dyDescent="0.25">
      <c r="A469" s="1"/>
      <c r="B469" s="79"/>
      <c r="C469" s="300"/>
      <c r="D469" s="80"/>
      <c r="E469" s="80"/>
      <c r="F469" s="80"/>
      <c r="G469" s="80"/>
      <c r="H469" s="80"/>
      <c r="I469" s="300"/>
    </row>
    <row r="470" spans="1:10" s="175" customFormat="1" x14ac:dyDescent="0.25">
      <c r="A470" s="1"/>
      <c r="B470" s="79"/>
      <c r="C470" s="300"/>
      <c r="D470" s="194"/>
      <c r="E470" s="194"/>
      <c r="F470" s="194"/>
      <c r="G470" s="194"/>
      <c r="H470" s="194"/>
    </row>
    <row r="471" spans="1:10" s="175" customFormat="1" x14ac:dyDescent="0.25">
      <c r="A471" s="287"/>
      <c r="B471" s="288"/>
      <c r="C471" s="300"/>
      <c r="G471" s="291" t="s">
        <v>643</v>
      </c>
      <c r="H471" s="194"/>
    </row>
    <row r="472" spans="1:10" s="175" customFormat="1" x14ac:dyDescent="0.25">
      <c r="A472" s="1"/>
      <c r="B472" s="79"/>
      <c r="C472" s="300"/>
      <c r="G472" s="291" t="s">
        <v>630</v>
      </c>
      <c r="H472" s="201"/>
    </row>
    <row r="473" spans="1:10" s="175" customFormat="1" x14ac:dyDescent="0.25">
      <c r="A473" s="1"/>
      <c r="B473" s="79"/>
      <c r="C473" s="300"/>
      <c r="G473" s="291"/>
      <c r="H473" s="195"/>
    </row>
    <row r="474" spans="1:10" s="175" customFormat="1" x14ac:dyDescent="0.25">
      <c r="A474" s="1"/>
      <c r="B474" s="79"/>
      <c r="C474" s="300"/>
      <c r="G474" s="291"/>
      <c r="H474" s="195"/>
    </row>
    <row r="475" spans="1:10" s="175" customFormat="1" x14ac:dyDescent="0.25">
      <c r="A475" s="1"/>
      <c r="B475" s="79"/>
      <c r="C475" s="300"/>
      <c r="G475" s="291"/>
      <c r="H475" s="195"/>
    </row>
    <row r="476" spans="1:10" s="175" customFormat="1" x14ac:dyDescent="0.25">
      <c r="A476" s="1"/>
      <c r="B476" s="79"/>
      <c r="C476" s="300"/>
      <c r="G476" s="292" t="s">
        <v>579</v>
      </c>
      <c r="H476" s="195"/>
    </row>
    <row r="477" spans="1:10" s="175" customFormat="1" x14ac:dyDescent="0.25">
      <c r="A477" s="1"/>
      <c r="B477" s="79"/>
      <c r="C477" s="300"/>
      <c r="G477" s="291" t="s">
        <v>577</v>
      </c>
      <c r="H477" s="201"/>
    </row>
    <row r="478" spans="1:10" x14ac:dyDescent="0.25">
      <c r="G478" s="291" t="s">
        <v>576</v>
      </c>
    </row>
  </sheetData>
  <mergeCells count="11">
    <mergeCell ref="A7:A8"/>
    <mergeCell ref="B7:B8"/>
    <mergeCell ref="C7:C8"/>
    <mergeCell ref="E7:G7"/>
    <mergeCell ref="H7:H8"/>
    <mergeCell ref="I7:I8"/>
    <mergeCell ref="B2:C2"/>
    <mergeCell ref="B3:C3"/>
    <mergeCell ref="B4:C4"/>
    <mergeCell ref="B5:C5"/>
    <mergeCell ref="F6:H6"/>
  </mergeCells>
  <pageMargins left="0.59" right="0.15748031496062992" top="1.27" bottom="0.47244094488188981" header="0.39370078740157483" footer="0.23622047244094491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</sheetPr>
  <dimension ref="A2:M62"/>
  <sheetViews>
    <sheetView topLeftCell="A7" zoomScale="79" zoomScaleNormal="79" workbookViewId="0">
      <selection activeCell="J32" sqref="J32"/>
    </sheetView>
  </sheetViews>
  <sheetFormatPr defaultColWidth="9.28515625" defaultRowHeight="13.15" customHeight="1" x14ac:dyDescent="0.25"/>
  <cols>
    <col min="1" max="1" width="6.7109375" style="113" customWidth="1"/>
    <col min="2" max="2" width="16.140625" style="113" customWidth="1"/>
    <col min="3" max="3" width="56" style="81" customWidth="1"/>
    <col min="4" max="4" width="29.5703125" style="81" customWidth="1"/>
    <col min="5" max="5" width="29.140625" style="81" customWidth="1"/>
    <col min="6" max="6" width="28.42578125" style="81" customWidth="1"/>
    <col min="7" max="7" width="28.85546875" style="81" customWidth="1"/>
    <col min="8" max="8" width="11.7109375" style="81" customWidth="1"/>
    <col min="9" max="9" width="27.5703125" style="271" bestFit="1" customWidth="1"/>
    <col min="10" max="10" width="33" style="271" customWidth="1"/>
    <col min="11" max="11" width="26.42578125" style="81" bestFit="1" customWidth="1"/>
    <col min="12" max="12" width="9.28515625" style="81"/>
    <col min="13" max="13" width="23.5703125" style="81" customWidth="1"/>
    <col min="14" max="30" width="9.28515625" style="81" customWidth="1"/>
    <col min="31" max="16384" width="9.28515625" style="81"/>
  </cols>
  <sheetData>
    <row r="2" spans="1:13" ht="17.25" customHeight="1" x14ac:dyDescent="0.25">
      <c r="B2" s="452" t="s">
        <v>0</v>
      </c>
      <c r="C2" s="452"/>
      <c r="D2" s="452"/>
      <c r="E2" s="5" t="s">
        <v>486</v>
      </c>
      <c r="F2" s="5"/>
      <c r="G2" s="175"/>
      <c r="H2" s="175"/>
    </row>
    <row r="3" spans="1:13" ht="17.25" customHeight="1" x14ac:dyDescent="0.25">
      <c r="B3" s="445" t="s">
        <v>480</v>
      </c>
      <c r="C3" s="445"/>
      <c r="D3" s="445"/>
      <c r="E3" s="5" t="s">
        <v>631</v>
      </c>
      <c r="F3" s="5"/>
      <c r="G3" s="175"/>
      <c r="H3" s="175"/>
    </row>
    <row r="4" spans="1:13" ht="23.25" customHeight="1" x14ac:dyDescent="0.25">
      <c r="B4" s="453" t="s">
        <v>481</v>
      </c>
      <c r="C4" s="453"/>
      <c r="D4" s="453"/>
      <c r="E4" s="6" t="s">
        <v>642</v>
      </c>
      <c r="F4" s="6"/>
      <c r="G4" s="175"/>
      <c r="H4" s="175"/>
    </row>
    <row r="5" spans="1:13" ht="23.25" customHeight="1" x14ac:dyDescent="0.25">
      <c r="B5" s="453"/>
      <c r="C5" s="453"/>
      <c r="D5" s="6"/>
      <c r="E5" s="6"/>
      <c r="F5" s="175"/>
      <c r="G5" s="175"/>
      <c r="H5" s="175"/>
    </row>
    <row r="6" spans="1:13" ht="21" customHeight="1" x14ac:dyDescent="0.25">
      <c r="B6" s="302"/>
      <c r="C6" s="302"/>
      <c r="D6" s="7"/>
      <c r="E6" s="7"/>
      <c r="F6" s="449"/>
      <c r="G6" s="449"/>
      <c r="H6" s="449"/>
    </row>
    <row r="7" spans="1:13" ht="21" customHeight="1" thickBot="1" x14ac:dyDescent="0.3">
      <c r="B7" s="302"/>
      <c r="C7" s="302"/>
      <c r="D7" s="7"/>
      <c r="E7" s="7"/>
      <c r="F7" s="449"/>
      <c r="G7" s="449"/>
      <c r="H7" s="449"/>
    </row>
    <row r="8" spans="1:13" s="83" customFormat="1" ht="23.25" customHeight="1" x14ac:dyDescent="0.25">
      <c r="A8" s="435" t="s">
        <v>2</v>
      </c>
      <c r="B8" s="437" t="s">
        <v>3</v>
      </c>
      <c r="C8" s="437" t="s">
        <v>4</v>
      </c>
      <c r="D8" s="202" t="s">
        <v>5</v>
      </c>
      <c r="E8" s="441" t="s">
        <v>475</v>
      </c>
      <c r="F8" s="441"/>
      <c r="G8" s="441"/>
      <c r="H8" s="454" t="s">
        <v>6</v>
      </c>
      <c r="I8" s="272"/>
      <c r="J8" s="272"/>
    </row>
    <row r="9" spans="1:13" s="83" customFormat="1" ht="23.25" customHeight="1" x14ac:dyDescent="0.25">
      <c r="A9" s="436"/>
      <c r="B9" s="438"/>
      <c r="C9" s="438"/>
      <c r="D9" s="203" t="s">
        <v>632</v>
      </c>
      <c r="E9" s="251" t="s">
        <v>476</v>
      </c>
      <c r="F9" s="251" t="s">
        <v>477</v>
      </c>
      <c r="G9" s="251" t="s">
        <v>478</v>
      </c>
      <c r="H9" s="455"/>
      <c r="I9" s="272"/>
      <c r="J9" s="272"/>
    </row>
    <row r="10" spans="1:13" ht="15.75" customHeight="1" x14ac:dyDescent="0.25">
      <c r="A10" s="11">
        <v>1</v>
      </c>
      <c r="B10" s="12">
        <v>2</v>
      </c>
      <c r="C10" s="13">
        <v>3</v>
      </c>
      <c r="D10" s="14">
        <v>4</v>
      </c>
      <c r="E10" s="14">
        <v>5</v>
      </c>
      <c r="F10" s="14">
        <v>6</v>
      </c>
      <c r="G10" s="15" t="s">
        <v>582</v>
      </c>
      <c r="H10" s="235" t="s">
        <v>583</v>
      </c>
    </row>
    <row r="11" spans="1:13" ht="20.25" customHeight="1" x14ac:dyDescent="0.25">
      <c r="A11" s="318"/>
      <c r="B11" s="199" t="s">
        <v>473</v>
      </c>
      <c r="C11" s="200" t="s">
        <v>9</v>
      </c>
      <c r="D11" s="275">
        <f>D36</f>
        <v>1141467482471</v>
      </c>
      <c r="E11" s="275">
        <f t="shared" ref="E11:G11" si="0">E36</f>
        <v>88000958539.350006</v>
      </c>
      <c r="F11" s="275">
        <f t="shared" si="0"/>
        <v>66802458555.669998</v>
      </c>
      <c r="G11" s="275">
        <f t="shared" si="0"/>
        <v>154803417095.01999</v>
      </c>
      <c r="H11" s="276">
        <f>G11/D11</f>
        <v>0.13561789492233994</v>
      </c>
      <c r="K11" s="271"/>
    </row>
    <row r="12" spans="1:13" ht="20.25" customHeight="1" x14ac:dyDescent="0.25">
      <c r="A12" s="149" t="s">
        <v>426</v>
      </c>
      <c r="B12" s="150" t="s">
        <v>11</v>
      </c>
      <c r="C12" s="151" t="s">
        <v>443</v>
      </c>
      <c r="D12" s="152">
        <f>SUM(D13+D14+D18+D19)</f>
        <v>392981073390</v>
      </c>
      <c r="E12" s="152">
        <f t="shared" ref="E12:G12" si="1">SUM(E13+E14+E18+E19)</f>
        <v>16803871439.349998</v>
      </c>
      <c r="F12" s="152">
        <f t="shared" si="1"/>
        <v>12869715755.67</v>
      </c>
      <c r="G12" s="152">
        <f t="shared" si="1"/>
        <v>29673587195.02</v>
      </c>
      <c r="H12" s="243">
        <f>G12/D12</f>
        <v>7.5508947387833897E-2</v>
      </c>
      <c r="K12" s="271"/>
    </row>
    <row r="13" spans="1:13" ht="20.25" customHeight="1" x14ac:dyDescent="0.25">
      <c r="A13" s="319" t="s">
        <v>19</v>
      </c>
      <c r="B13" s="256" t="s">
        <v>345</v>
      </c>
      <c r="C13" s="265" t="s">
        <v>264</v>
      </c>
      <c r="D13" s="258">
        <v>197002700000</v>
      </c>
      <c r="E13" s="258">
        <f>'Rkp Jan'!G13</f>
        <v>6681967943</v>
      </c>
      <c r="F13" s="258">
        <f>'Realisasi Februari'!F13</f>
        <v>7134587189</v>
      </c>
      <c r="G13" s="258">
        <f>E13+F13</f>
        <v>13816555132</v>
      </c>
      <c r="H13" s="259">
        <f t="shared" ref="H13:H35" si="2">G13/D13</f>
        <v>7.0133836399196556E-2</v>
      </c>
      <c r="J13" s="282" t="s">
        <v>629</v>
      </c>
      <c r="M13" s="90"/>
    </row>
    <row r="14" spans="1:13" ht="20.25" customHeight="1" x14ac:dyDescent="0.25">
      <c r="A14" s="320" t="s">
        <v>39</v>
      </c>
      <c r="B14" s="266" t="s">
        <v>346</v>
      </c>
      <c r="C14" s="267" t="s">
        <v>265</v>
      </c>
      <c r="D14" s="268">
        <f>SUM(D15:D17)</f>
        <v>47985440000</v>
      </c>
      <c r="E14" s="268">
        <f t="shared" ref="E14:G14" si="3">SUM(E15:E17)</f>
        <v>1843589550</v>
      </c>
      <c r="F14" s="268">
        <f t="shared" si="3"/>
        <v>1835676050</v>
      </c>
      <c r="G14" s="268">
        <f t="shared" si="3"/>
        <v>3679265600</v>
      </c>
      <c r="H14" s="269">
        <f t="shared" si="2"/>
        <v>7.6674624636139624E-2</v>
      </c>
      <c r="M14" s="90"/>
    </row>
    <row r="15" spans="1:13" ht="20.25" customHeight="1" x14ac:dyDescent="0.25">
      <c r="A15" s="321"/>
      <c r="B15" s="86" t="s">
        <v>288</v>
      </c>
      <c r="C15" s="87" t="s">
        <v>55</v>
      </c>
      <c r="D15" s="88">
        <v>4579475000</v>
      </c>
      <c r="E15" s="88">
        <f>'Rkp Jan'!G15</f>
        <v>142897800</v>
      </c>
      <c r="F15" s="88">
        <f>'Realisasi Februari'!F30+'Realisasi Februari'!F53+'Realisasi Februari'!F58+'Realisasi Februari'!F92</f>
        <v>97189750</v>
      </c>
      <c r="G15" s="88">
        <f>E15+F15</f>
        <v>240087550</v>
      </c>
      <c r="H15" s="245">
        <f t="shared" si="2"/>
        <v>5.2426872075947567E-2</v>
      </c>
      <c r="M15" s="90"/>
    </row>
    <row r="16" spans="1:13" ht="20.25" customHeight="1" x14ac:dyDescent="0.25">
      <c r="A16" s="321"/>
      <c r="B16" s="86" t="s">
        <v>285</v>
      </c>
      <c r="C16" s="87" t="s">
        <v>444</v>
      </c>
      <c r="D16" s="88">
        <v>28403965000</v>
      </c>
      <c r="E16" s="88">
        <f>'Rkp Jan'!G16</f>
        <v>1700691750</v>
      </c>
      <c r="F16" s="88">
        <f>'Realisasi Februari'!F41+'Realisasi Februari'!F48+'Realisasi Februari'!F63+'Realisasi Februari'!F75+'Realisasi Februari'!F87</f>
        <v>1738486300</v>
      </c>
      <c r="G16" s="88">
        <f t="shared" ref="G16:G19" si="4">E16+F16</f>
        <v>3439178050</v>
      </c>
      <c r="H16" s="245">
        <f t="shared" si="2"/>
        <v>0.12108091423151662</v>
      </c>
      <c r="M16" s="90"/>
    </row>
    <row r="17" spans="1:13" ht="20.25" customHeight="1" x14ac:dyDescent="0.25">
      <c r="A17" s="321"/>
      <c r="B17" s="86" t="s">
        <v>298</v>
      </c>
      <c r="C17" s="87" t="s">
        <v>60</v>
      </c>
      <c r="D17" s="88">
        <v>15002000000</v>
      </c>
      <c r="E17" s="88">
        <f>'Rkp Jan'!G17</f>
        <v>0</v>
      </c>
      <c r="F17" s="88">
        <f>'Realisasi Februari'!F70+'Realisasi Februari'!F80</f>
        <v>0</v>
      </c>
      <c r="G17" s="88">
        <f t="shared" si="4"/>
        <v>0</v>
      </c>
      <c r="H17" s="245">
        <f t="shared" si="2"/>
        <v>0</v>
      </c>
      <c r="M17" s="90"/>
    </row>
    <row r="18" spans="1:13" ht="31.5" customHeight="1" x14ac:dyDescent="0.25">
      <c r="A18" s="320" t="s">
        <v>46</v>
      </c>
      <c r="B18" s="256" t="s">
        <v>347</v>
      </c>
      <c r="C18" s="257" t="s">
        <v>266</v>
      </c>
      <c r="D18" s="258">
        <v>1663748324</v>
      </c>
      <c r="E18" s="88">
        <f>'Rkp Jan'!G18</f>
        <v>0</v>
      </c>
      <c r="F18" s="258">
        <f>'Realisasi Februari'!F96</f>
        <v>0</v>
      </c>
      <c r="G18" s="260">
        <f t="shared" si="4"/>
        <v>0</v>
      </c>
      <c r="H18" s="259">
        <f t="shared" si="2"/>
        <v>0</v>
      </c>
      <c r="I18" s="273"/>
      <c r="M18" s="90"/>
    </row>
    <row r="19" spans="1:13" ht="20.25" customHeight="1" x14ac:dyDescent="0.25">
      <c r="A19" s="322" t="s">
        <v>8</v>
      </c>
      <c r="B19" s="266" t="s">
        <v>348</v>
      </c>
      <c r="C19" s="267" t="s">
        <v>96</v>
      </c>
      <c r="D19" s="268">
        <v>146329185066</v>
      </c>
      <c r="E19" s="260">
        <f>'Rkp Jan'!G19</f>
        <v>8278313946.3499994</v>
      </c>
      <c r="F19" s="268">
        <f>'Realisasi Februari'!F102</f>
        <v>3899452516.6700001</v>
      </c>
      <c r="G19" s="260">
        <f t="shared" si="4"/>
        <v>12177766463.02</v>
      </c>
      <c r="H19" s="269">
        <f t="shared" si="2"/>
        <v>8.3221719970130129E-2</v>
      </c>
      <c r="M19" s="90"/>
    </row>
    <row r="20" spans="1:13" ht="20.25" customHeight="1" x14ac:dyDescent="0.25">
      <c r="A20" s="149" t="s">
        <v>163</v>
      </c>
      <c r="B20" s="150" t="s">
        <v>164</v>
      </c>
      <c r="C20" s="151" t="s">
        <v>268</v>
      </c>
      <c r="D20" s="155">
        <f>SUM(D21+D28)</f>
        <v>748486409081</v>
      </c>
      <c r="E20" s="155">
        <f t="shared" ref="E20:G20" si="5">SUM(E21+E28)</f>
        <v>71197087100</v>
      </c>
      <c r="F20" s="155">
        <f>SUM(F21+F28)</f>
        <v>53932742800</v>
      </c>
      <c r="G20" s="155">
        <f t="shared" si="5"/>
        <v>125129829900</v>
      </c>
      <c r="H20" s="243">
        <f t="shared" si="2"/>
        <v>0.16717715696886976</v>
      </c>
    </row>
    <row r="21" spans="1:13" ht="20.25" customHeight="1" x14ac:dyDescent="0.25">
      <c r="A21" s="156" t="s">
        <v>416</v>
      </c>
      <c r="B21" s="157" t="s">
        <v>350</v>
      </c>
      <c r="C21" s="158" t="s">
        <v>351</v>
      </c>
      <c r="D21" s="159">
        <f>SUM(D22+D27)</f>
        <v>643257080000</v>
      </c>
      <c r="E21" s="159">
        <f t="shared" ref="E21:G21" si="6">SUM(E22+E27)</f>
        <v>71197087100</v>
      </c>
      <c r="F21" s="159">
        <f t="shared" si="6"/>
        <v>53932742800</v>
      </c>
      <c r="G21" s="159">
        <f t="shared" si="6"/>
        <v>125129829900</v>
      </c>
      <c r="H21" s="246">
        <f t="shared" si="2"/>
        <v>0.1945253830707934</v>
      </c>
    </row>
    <row r="22" spans="1:13" ht="20.25" customHeight="1" x14ac:dyDescent="0.25">
      <c r="A22" s="160" t="s">
        <v>89</v>
      </c>
      <c r="B22" s="161" t="s">
        <v>352</v>
      </c>
      <c r="C22" s="162" t="s">
        <v>435</v>
      </c>
      <c r="D22" s="163">
        <f>SUM(D23:D26)</f>
        <v>643257080000</v>
      </c>
      <c r="E22" s="163">
        <f t="shared" ref="E22:G22" si="7">SUM(E23:E26)</f>
        <v>71197087100</v>
      </c>
      <c r="F22" s="163">
        <f>SUM(F23:F26)</f>
        <v>53932742800</v>
      </c>
      <c r="G22" s="163">
        <f t="shared" si="7"/>
        <v>125129829900</v>
      </c>
      <c r="H22" s="247">
        <f t="shared" si="2"/>
        <v>0.1945253830707934</v>
      </c>
    </row>
    <row r="23" spans="1:13" ht="20.25" customHeight="1" x14ac:dyDescent="0.25">
      <c r="A23" s="323" t="s">
        <v>13</v>
      </c>
      <c r="B23" s="147" t="s">
        <v>353</v>
      </c>
      <c r="C23" s="148" t="s">
        <v>354</v>
      </c>
      <c r="D23" s="173">
        <v>154499794000</v>
      </c>
      <c r="E23" s="173">
        <f>'Rkp Jan'!G23</f>
        <v>588547100</v>
      </c>
      <c r="F23" s="173">
        <f>'Realisasi Februari'!F228</f>
        <v>18136572800</v>
      </c>
      <c r="G23" s="173">
        <f>E23+F23</f>
        <v>18725119900</v>
      </c>
      <c r="H23" s="244">
        <f t="shared" si="2"/>
        <v>0.12119834865281438</v>
      </c>
    </row>
    <row r="24" spans="1:13" ht="20.25" customHeight="1" x14ac:dyDescent="0.25">
      <c r="A24" s="85" t="s">
        <v>16</v>
      </c>
      <c r="B24" s="86" t="s">
        <v>368</v>
      </c>
      <c r="C24" s="87" t="s">
        <v>436</v>
      </c>
      <c r="D24" s="88">
        <v>429554051000</v>
      </c>
      <c r="E24" s="173">
        <f>'Rkp Jan'!G24</f>
        <v>70608540000</v>
      </c>
      <c r="F24" s="88">
        <f>'Realisasi Februari'!F293</f>
        <v>35796170000</v>
      </c>
      <c r="G24" s="173">
        <f t="shared" ref="G24:G26" si="8">E24+F24</f>
        <v>106404710000</v>
      </c>
      <c r="H24" s="248">
        <f t="shared" si="2"/>
        <v>0.24770971139089548</v>
      </c>
    </row>
    <row r="25" spans="1:13" ht="20.25" customHeight="1" x14ac:dyDescent="0.25">
      <c r="A25" s="85" t="s">
        <v>86</v>
      </c>
      <c r="B25" s="86" t="s">
        <v>370</v>
      </c>
      <c r="C25" s="87" t="s">
        <v>437</v>
      </c>
      <c r="D25" s="88">
        <v>7340205000</v>
      </c>
      <c r="E25" s="173">
        <f>'Rkp Jan'!G25</f>
        <v>0</v>
      </c>
      <c r="F25" s="88">
        <f>'Realisasi Februari'!F295</f>
        <v>0</v>
      </c>
      <c r="G25" s="173">
        <f t="shared" si="8"/>
        <v>0</v>
      </c>
      <c r="H25" s="248">
        <f t="shared" si="2"/>
        <v>0</v>
      </c>
    </row>
    <row r="26" spans="1:13" ht="20.25" customHeight="1" x14ac:dyDescent="0.25">
      <c r="A26" s="91" t="s">
        <v>95</v>
      </c>
      <c r="B26" s="153" t="s">
        <v>384</v>
      </c>
      <c r="C26" s="154" t="s">
        <v>438</v>
      </c>
      <c r="D26" s="174">
        <v>51863030000</v>
      </c>
      <c r="E26" s="173">
        <f>'Rkp Jan'!G26</f>
        <v>0</v>
      </c>
      <c r="F26" s="174">
        <f>'Realisasi Februari'!F363</f>
        <v>0</v>
      </c>
      <c r="G26" s="173">
        <f t="shared" si="8"/>
        <v>0</v>
      </c>
      <c r="H26" s="245">
        <f t="shared" si="2"/>
        <v>0</v>
      </c>
    </row>
    <row r="27" spans="1:13" ht="20.25" customHeight="1" x14ac:dyDescent="0.25">
      <c r="A27" s="160" t="s">
        <v>91</v>
      </c>
      <c r="B27" s="161" t="s">
        <v>396</v>
      </c>
      <c r="C27" s="162" t="s">
        <v>439</v>
      </c>
      <c r="D27" s="163">
        <v>0</v>
      </c>
      <c r="E27" s="163"/>
      <c r="F27" s="163">
        <f>'Realisasi Januari'!F408</f>
        <v>0</v>
      </c>
      <c r="G27" s="163">
        <f>E27+F27</f>
        <v>0</v>
      </c>
      <c r="H27" s="247" t="e">
        <f t="shared" si="2"/>
        <v>#DIV/0!</v>
      </c>
    </row>
    <row r="28" spans="1:13" ht="20.25" customHeight="1" x14ac:dyDescent="0.25">
      <c r="A28" s="156" t="s">
        <v>440</v>
      </c>
      <c r="B28" s="157" t="s">
        <v>398</v>
      </c>
      <c r="C28" s="158" t="s">
        <v>399</v>
      </c>
      <c r="D28" s="159">
        <f>SUM(D29:D30)</f>
        <v>105229329081</v>
      </c>
      <c r="E28" s="159">
        <f t="shared" ref="E28:F28" si="9">SUM(E29:E30)</f>
        <v>0</v>
      </c>
      <c r="F28" s="159">
        <f t="shared" si="9"/>
        <v>0</v>
      </c>
      <c r="G28" s="159">
        <f>E28+F28</f>
        <v>0</v>
      </c>
      <c r="H28" s="246">
        <f t="shared" si="2"/>
        <v>0</v>
      </c>
    </row>
    <row r="29" spans="1:13" ht="20.25" customHeight="1" x14ac:dyDescent="0.25">
      <c r="A29" s="323" t="s">
        <v>89</v>
      </c>
      <c r="B29" s="147" t="s">
        <v>400</v>
      </c>
      <c r="C29" s="148" t="s">
        <v>403</v>
      </c>
      <c r="D29" s="173">
        <v>105229329081</v>
      </c>
      <c r="E29" s="173">
        <f>'Rkp Jan'!G29</f>
        <v>0</v>
      </c>
      <c r="F29" s="173">
        <f>'Realisasi Januari'!F416</f>
        <v>0</v>
      </c>
      <c r="G29" s="173">
        <f>E29+F29</f>
        <v>0</v>
      </c>
      <c r="H29" s="244">
        <f t="shared" si="2"/>
        <v>0</v>
      </c>
    </row>
    <row r="30" spans="1:13" ht="20.25" customHeight="1" x14ac:dyDescent="0.25">
      <c r="A30" s="91" t="s">
        <v>91</v>
      </c>
      <c r="B30" s="153" t="s">
        <v>425</v>
      </c>
      <c r="C30" s="154" t="s">
        <v>427</v>
      </c>
      <c r="D30" s="174">
        <v>0</v>
      </c>
      <c r="E30" s="173"/>
      <c r="F30" s="174">
        <f>'Realisasi Januari'!F429</f>
        <v>0</v>
      </c>
      <c r="G30" s="173">
        <f>E30+F30</f>
        <v>0</v>
      </c>
      <c r="H30" s="244" t="e">
        <f t="shared" si="2"/>
        <v>#DIV/0!</v>
      </c>
    </row>
    <row r="31" spans="1:13" ht="20.25" customHeight="1" x14ac:dyDescent="0.25">
      <c r="A31" s="149" t="s">
        <v>241</v>
      </c>
      <c r="B31" s="150" t="s">
        <v>242</v>
      </c>
      <c r="C31" s="151" t="s">
        <v>243</v>
      </c>
      <c r="D31" s="155">
        <f t="shared" ref="D31:G33" si="10">D32</f>
        <v>0</v>
      </c>
      <c r="E31" s="155">
        <f t="shared" si="10"/>
        <v>0</v>
      </c>
      <c r="F31" s="155">
        <f t="shared" si="10"/>
        <v>0</v>
      </c>
      <c r="G31" s="155">
        <f t="shared" si="10"/>
        <v>0</v>
      </c>
      <c r="H31" s="243" t="e">
        <f t="shared" si="2"/>
        <v>#DIV/0!</v>
      </c>
    </row>
    <row r="32" spans="1:13" ht="34.5" customHeight="1" x14ac:dyDescent="0.25">
      <c r="A32" s="84"/>
      <c r="B32" s="147" t="s">
        <v>418</v>
      </c>
      <c r="C32" s="250" t="s">
        <v>441</v>
      </c>
      <c r="D32" s="258">
        <f>D33</f>
        <v>0</v>
      </c>
      <c r="E32" s="173"/>
      <c r="F32" s="173">
        <f t="shared" si="10"/>
        <v>0</v>
      </c>
      <c r="G32" s="173">
        <f>E32+F32</f>
        <v>0</v>
      </c>
      <c r="H32" s="259" t="e">
        <f t="shared" si="2"/>
        <v>#DIV/0!</v>
      </c>
    </row>
    <row r="33" spans="1:10" ht="20.25" customHeight="1" x14ac:dyDescent="0.25">
      <c r="A33" s="85"/>
      <c r="B33" s="86" t="s">
        <v>420</v>
      </c>
      <c r="C33" s="87" t="s">
        <v>442</v>
      </c>
      <c r="D33" s="260">
        <f t="shared" si="10"/>
        <v>0</v>
      </c>
      <c r="E33" s="173"/>
      <c r="F33" s="88">
        <f t="shared" si="10"/>
        <v>0</v>
      </c>
      <c r="G33" s="173">
        <f t="shared" ref="G33" si="11">E33+F33</f>
        <v>0</v>
      </c>
      <c r="H33" s="261" t="e">
        <f t="shared" si="2"/>
        <v>#DIV/0!</v>
      </c>
    </row>
    <row r="34" spans="1:10" ht="20.25" customHeight="1" x14ac:dyDescent="0.25">
      <c r="A34" s="91" t="s">
        <v>89</v>
      </c>
      <c r="B34" s="86" t="s">
        <v>422</v>
      </c>
      <c r="C34" s="87" t="s">
        <v>423</v>
      </c>
      <c r="D34" s="164">
        <v>0</v>
      </c>
      <c r="E34" s="173"/>
      <c r="F34" s="174">
        <f>'Realisasi Januari'!F439</f>
        <v>0</v>
      </c>
      <c r="G34" s="173">
        <f>F34</f>
        <v>0</v>
      </c>
      <c r="H34" s="248" t="e">
        <f t="shared" si="2"/>
        <v>#DIV/0!</v>
      </c>
    </row>
    <row r="35" spans="1:10" ht="20.25" customHeight="1" thickBot="1" x14ac:dyDescent="0.3">
      <c r="A35" s="91" t="s">
        <v>91</v>
      </c>
      <c r="B35" s="86" t="s">
        <v>618</v>
      </c>
      <c r="C35" s="87" t="s">
        <v>620</v>
      </c>
      <c r="D35" s="164">
        <v>0</v>
      </c>
      <c r="E35" s="173">
        <v>0</v>
      </c>
      <c r="F35" s="174"/>
      <c r="G35" s="173">
        <f>F35</f>
        <v>0</v>
      </c>
      <c r="H35" s="286" t="e">
        <f t="shared" si="2"/>
        <v>#DIV/0!</v>
      </c>
    </row>
    <row r="36" spans="1:10" s="82" customFormat="1" ht="21.75" customHeight="1" thickBot="1" x14ac:dyDescent="0.3">
      <c r="A36" s="143"/>
      <c r="B36" s="144"/>
      <c r="C36" s="145" t="s">
        <v>472</v>
      </c>
      <c r="D36" s="146">
        <f>SUM(D12+D20+D31)</f>
        <v>1141467482471</v>
      </c>
      <c r="E36" s="146">
        <f t="shared" ref="E36:G36" si="12">SUM(E12+E20+E31)</f>
        <v>88000958539.350006</v>
      </c>
      <c r="F36" s="146">
        <f t="shared" si="12"/>
        <v>66802458555.669998</v>
      </c>
      <c r="G36" s="146">
        <f t="shared" si="12"/>
        <v>154803417095.01999</v>
      </c>
      <c r="H36" s="249">
        <f>G36/D36</f>
        <v>0.13561789492233994</v>
      </c>
      <c r="I36" s="274"/>
      <c r="J36" s="274"/>
    </row>
    <row r="37" spans="1:10" ht="20.25" hidden="1" customHeight="1" x14ac:dyDescent="0.25">
      <c r="A37" s="92" t="s">
        <v>95</v>
      </c>
      <c r="B37" s="93" t="s">
        <v>46</v>
      </c>
      <c r="C37" s="94" t="s">
        <v>251</v>
      </c>
      <c r="D37" s="95">
        <v>102132456348.7</v>
      </c>
      <c r="E37" s="173"/>
      <c r="F37" s="88" t="e">
        <f>D37-#REF!</f>
        <v>#REF!</v>
      </c>
      <c r="G37" s="173"/>
      <c r="H37" s="96" t="e">
        <f>SUM(F37/#REF!)</f>
        <v>#REF!</v>
      </c>
    </row>
    <row r="38" spans="1:10" ht="20.25" hidden="1" customHeight="1" x14ac:dyDescent="0.25">
      <c r="A38" s="85"/>
      <c r="B38" s="97" t="s">
        <v>252</v>
      </c>
      <c r="C38" s="98" t="s">
        <v>253</v>
      </c>
      <c r="D38" s="88">
        <v>102132456348.7</v>
      </c>
      <c r="E38" s="88"/>
      <c r="F38" s="88" t="e">
        <f>D38-#REF!</f>
        <v>#REF!</v>
      </c>
      <c r="G38" s="88"/>
      <c r="H38" s="89" t="e">
        <f>SUM(F38/#REF!)</f>
        <v>#REF!</v>
      </c>
    </row>
    <row r="39" spans="1:10" ht="20.25" hidden="1" customHeight="1" x14ac:dyDescent="0.25">
      <c r="A39" s="85"/>
      <c r="B39" s="99" t="s">
        <v>254</v>
      </c>
      <c r="C39" s="100" t="s">
        <v>255</v>
      </c>
      <c r="D39" s="88">
        <v>95076456348.699997</v>
      </c>
      <c r="E39" s="88"/>
      <c r="F39" s="88" t="e">
        <f>D39-#REF!</f>
        <v>#REF!</v>
      </c>
      <c r="G39" s="88"/>
      <c r="H39" s="89" t="e">
        <f>SUM(F39/#REF!)</f>
        <v>#REF!</v>
      </c>
    </row>
    <row r="40" spans="1:10" ht="20.25" hidden="1" customHeight="1" x14ac:dyDescent="0.25">
      <c r="A40" s="85"/>
      <c r="B40" s="99" t="s">
        <v>256</v>
      </c>
      <c r="C40" s="100" t="s">
        <v>257</v>
      </c>
      <c r="D40" s="88">
        <v>7056000000</v>
      </c>
      <c r="E40" s="88"/>
      <c r="F40" s="88" t="e">
        <f>D40-#REF!</f>
        <v>#REF!</v>
      </c>
      <c r="G40" s="88"/>
      <c r="H40" s="89">
        <v>1</v>
      </c>
    </row>
    <row r="41" spans="1:10" ht="20.25" hidden="1" customHeight="1" x14ac:dyDescent="0.25">
      <c r="A41" s="101"/>
      <c r="B41" s="102" t="s">
        <v>258</v>
      </c>
      <c r="C41" s="103" t="s">
        <v>259</v>
      </c>
      <c r="D41" s="104">
        <v>7056000000</v>
      </c>
      <c r="E41" s="174"/>
      <c r="F41" s="88" t="e">
        <f>D41-#REF!</f>
        <v>#REF!</v>
      </c>
      <c r="G41" s="174"/>
      <c r="H41" s="105">
        <v>1</v>
      </c>
    </row>
    <row r="42" spans="1:10" ht="26.25" hidden="1" customHeight="1" x14ac:dyDescent="0.25">
      <c r="A42" s="450" t="s">
        <v>263</v>
      </c>
      <c r="B42" s="451"/>
      <c r="C42" s="451"/>
      <c r="D42" s="106">
        <f>SUM(D37+D36)</f>
        <v>1243599938819.7</v>
      </c>
      <c r="E42" s="106"/>
      <c r="F42" s="106" t="e">
        <f>SUM(F37+F36)</f>
        <v>#REF!</v>
      </c>
      <c r="G42" s="106"/>
      <c r="H42" s="107" t="e">
        <f>SUM(F42/#REF!)</f>
        <v>#REF!</v>
      </c>
    </row>
    <row r="43" spans="1:10" ht="26.25" customHeight="1" x14ac:dyDescent="0.25">
      <c r="A43" s="108"/>
      <c r="B43" s="198"/>
      <c r="C43" s="197"/>
      <c r="D43" s="110"/>
      <c r="E43" s="110"/>
      <c r="F43" s="110"/>
      <c r="G43" s="110"/>
      <c r="H43" s="111"/>
    </row>
    <row r="44" spans="1:10" ht="21" customHeight="1" x14ac:dyDescent="0.25">
      <c r="A44" s="324"/>
      <c r="B44" s="302"/>
      <c r="C44" s="109"/>
      <c r="D44" s="112"/>
      <c r="E44" s="112"/>
      <c r="F44" s="291"/>
      <c r="G44" s="291" t="s">
        <v>669</v>
      </c>
      <c r="H44" s="113"/>
    </row>
    <row r="45" spans="1:10" ht="18" x14ac:dyDescent="0.25">
      <c r="A45" s="324"/>
      <c r="B45" s="302"/>
      <c r="C45" s="109"/>
      <c r="D45" s="114"/>
      <c r="E45" s="114"/>
      <c r="F45" s="291"/>
      <c r="G45" s="291" t="s">
        <v>630</v>
      </c>
      <c r="H45" s="255"/>
    </row>
    <row r="46" spans="1:10" ht="21" customHeight="1" x14ac:dyDescent="0.25">
      <c r="B46" s="302"/>
      <c r="C46" s="109"/>
      <c r="D46" s="114"/>
      <c r="E46" s="114"/>
      <c r="F46" s="291"/>
      <c r="G46" s="291"/>
      <c r="H46" s="255"/>
    </row>
    <row r="47" spans="1:10" ht="15.75" customHeight="1" x14ac:dyDescent="0.25">
      <c r="B47" s="302"/>
      <c r="C47" s="109"/>
      <c r="D47" s="116"/>
      <c r="E47" s="116"/>
      <c r="F47" s="291"/>
      <c r="G47" s="291"/>
      <c r="H47" s="117"/>
    </row>
    <row r="48" spans="1:10" ht="15.75" customHeight="1" x14ac:dyDescent="0.25">
      <c r="B48" s="302"/>
      <c r="C48" s="109"/>
      <c r="D48" s="116"/>
      <c r="E48" s="116"/>
      <c r="F48" s="291"/>
      <c r="G48" s="291"/>
      <c r="H48" s="117"/>
    </row>
    <row r="49" spans="2:8" ht="15.75" customHeight="1" x14ac:dyDescent="0.25">
      <c r="B49" s="302"/>
      <c r="C49" s="109" t="s">
        <v>267</v>
      </c>
      <c r="D49" s="116"/>
      <c r="E49" s="116"/>
      <c r="F49" s="292"/>
      <c r="G49" s="292" t="s">
        <v>579</v>
      </c>
      <c r="H49" s="117"/>
    </row>
    <row r="50" spans="2:8" ht="15.75" customHeight="1" x14ac:dyDescent="0.25">
      <c r="B50" s="302"/>
      <c r="C50" s="109"/>
      <c r="D50" s="116"/>
      <c r="E50" s="116"/>
      <c r="F50" s="291"/>
      <c r="G50" s="291" t="s">
        <v>577</v>
      </c>
      <c r="H50" s="117"/>
    </row>
    <row r="51" spans="2:8" ht="22.5" customHeight="1" x14ac:dyDescent="0.25">
      <c r="C51" s="118"/>
      <c r="D51" s="119"/>
      <c r="E51" s="119"/>
      <c r="F51" s="291"/>
      <c r="G51" s="291" t="s">
        <v>576</v>
      </c>
      <c r="H51" s="120"/>
    </row>
    <row r="52" spans="2:8" ht="20.25" customHeight="1" x14ac:dyDescent="0.25">
      <c r="C52" s="118"/>
      <c r="D52" s="112"/>
      <c r="E52" s="112"/>
      <c r="F52" s="115"/>
      <c r="G52" s="115"/>
      <c r="H52" s="113"/>
    </row>
    <row r="53" spans="2:8" ht="13.15" customHeight="1" x14ac:dyDescent="0.25">
      <c r="C53" s="118"/>
      <c r="D53" s="112"/>
      <c r="E53" s="112"/>
      <c r="H53" s="113"/>
    </row>
    <row r="54" spans="2:8" ht="13.15" customHeight="1" x14ac:dyDescent="0.25">
      <c r="C54" s="118"/>
      <c r="D54" s="112"/>
      <c r="E54" s="112"/>
      <c r="F54" s="113"/>
      <c r="G54" s="113"/>
      <c r="H54" s="113"/>
    </row>
    <row r="55" spans="2:8" ht="13.15" customHeight="1" x14ac:dyDescent="0.25">
      <c r="C55" s="118"/>
      <c r="D55" s="112"/>
      <c r="E55" s="112"/>
      <c r="F55" s="113"/>
      <c r="G55" s="113"/>
      <c r="H55" s="113"/>
    </row>
    <row r="56" spans="2:8" ht="13.15" customHeight="1" x14ac:dyDescent="0.25">
      <c r="C56" s="118"/>
      <c r="D56" s="118"/>
      <c r="E56" s="118"/>
    </row>
    <row r="57" spans="2:8" ht="13.15" customHeight="1" x14ac:dyDescent="0.25">
      <c r="C57" s="118"/>
      <c r="D57" s="118"/>
      <c r="E57" s="118"/>
    </row>
    <row r="58" spans="2:8" ht="13.15" customHeight="1" x14ac:dyDescent="0.25">
      <c r="C58" s="118"/>
      <c r="D58" s="118"/>
      <c r="E58" s="118"/>
    </row>
    <row r="59" spans="2:8" ht="13.15" customHeight="1" x14ac:dyDescent="0.25">
      <c r="C59" s="118"/>
      <c r="D59" s="118"/>
      <c r="E59" s="118"/>
    </row>
    <row r="60" spans="2:8" ht="13.15" customHeight="1" x14ac:dyDescent="0.25">
      <c r="C60" s="118"/>
      <c r="D60" s="118"/>
      <c r="E60" s="118"/>
    </row>
    <row r="61" spans="2:8" ht="13.15" customHeight="1" x14ac:dyDescent="0.25">
      <c r="C61" s="118"/>
      <c r="D61" s="118"/>
      <c r="E61" s="118"/>
    </row>
    <row r="62" spans="2:8" ht="13.15" customHeight="1" x14ac:dyDescent="0.25">
      <c r="C62" s="118"/>
      <c r="D62" s="118"/>
      <c r="E62" s="118"/>
    </row>
  </sheetData>
  <mergeCells count="12">
    <mergeCell ref="F6:H6"/>
    <mergeCell ref="F7:H7"/>
    <mergeCell ref="A42:C42"/>
    <mergeCell ref="B2:D2"/>
    <mergeCell ref="B3:D3"/>
    <mergeCell ref="B4:D4"/>
    <mergeCell ref="B5:C5"/>
    <mergeCell ref="A8:A9"/>
    <mergeCell ref="B8:B9"/>
    <mergeCell ref="C8:C9"/>
    <mergeCell ref="E8:G8"/>
    <mergeCell ref="H8:H9"/>
  </mergeCells>
  <printOptions horizontalCentered="1"/>
  <pageMargins left="0.6692913385826772" right="1.0236220472440944" top="0.54" bottom="0.27559055118110237" header="0.23622047244094491" footer="0.33"/>
  <pageSetup paperSize="9" scale="6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O478"/>
  <sheetViews>
    <sheetView zoomScale="68" zoomScaleNormal="68" workbookViewId="0">
      <pane ySplit="9" topLeftCell="A115" activePane="bottomLeft" state="frozen"/>
      <selection activeCell="L32" sqref="L32"/>
      <selection pane="bottomLeft" activeCell="M133" sqref="M133"/>
    </sheetView>
  </sheetViews>
  <sheetFormatPr defaultColWidth="9.28515625" defaultRowHeight="18" x14ac:dyDescent="0.25"/>
  <cols>
    <col min="1" max="1" width="7" style="4" customWidth="1"/>
    <col min="2" max="2" width="25.140625" style="4" customWidth="1"/>
    <col min="3" max="3" width="82.7109375" style="4" customWidth="1"/>
    <col min="4" max="6" width="28.42578125" style="175" customWidth="1"/>
    <col min="7" max="7" width="30.7109375" style="175" customWidth="1"/>
    <col min="8" max="8" width="16" style="175" customWidth="1"/>
    <col min="9" max="9" width="56.42578125" style="4" hidden="1" customWidth="1"/>
    <col min="10" max="10" width="30.5703125" style="175" bestFit="1" customWidth="1"/>
    <col min="11" max="11" width="26.5703125" style="4" bestFit="1" customWidth="1"/>
    <col min="12" max="12" width="9.28515625" style="4"/>
    <col min="13" max="13" width="26.28515625" style="4" customWidth="1"/>
    <col min="14" max="16384" width="9.28515625" style="4"/>
  </cols>
  <sheetData>
    <row r="1" spans="1:15" x14ac:dyDescent="0.25">
      <c r="A1" s="1"/>
      <c r="B1" s="1"/>
      <c r="C1" s="2"/>
      <c r="I1" s="3"/>
    </row>
    <row r="2" spans="1:15" ht="25.5" x14ac:dyDescent="0.25">
      <c r="A2" s="1"/>
      <c r="B2" s="444" t="s">
        <v>0</v>
      </c>
      <c r="C2" s="444"/>
      <c r="E2" s="5" t="s">
        <v>486</v>
      </c>
      <c r="I2" s="1"/>
      <c r="K2" s="5"/>
    </row>
    <row r="3" spans="1:15" x14ac:dyDescent="0.25">
      <c r="A3" s="1"/>
      <c r="B3" s="445" t="s">
        <v>480</v>
      </c>
      <c r="C3" s="445"/>
      <c r="E3" s="5" t="s">
        <v>631</v>
      </c>
      <c r="K3" s="5"/>
    </row>
    <row r="4" spans="1:15" x14ac:dyDescent="0.25">
      <c r="A4" s="1"/>
      <c r="B4" s="446" t="s">
        <v>481</v>
      </c>
      <c r="C4" s="446"/>
      <c r="E4" s="6" t="s">
        <v>644</v>
      </c>
      <c r="K4" s="6"/>
    </row>
    <row r="5" spans="1:15" ht="19.5" x14ac:dyDescent="0.25">
      <c r="A5" s="1"/>
      <c r="B5" s="447"/>
      <c r="C5" s="447"/>
      <c r="I5" s="1"/>
    </row>
    <row r="6" spans="1:15" ht="18.75" thickBot="1" x14ac:dyDescent="0.3">
      <c r="A6" s="1"/>
      <c r="B6" s="304"/>
      <c r="C6" s="304"/>
      <c r="D6" s="8"/>
      <c r="E6" s="8"/>
      <c r="F6" s="448"/>
      <c r="G6" s="448"/>
      <c r="H6" s="448"/>
      <c r="I6" s="7"/>
    </row>
    <row r="7" spans="1:15" s="10" customFormat="1" ht="29.25" customHeight="1" x14ac:dyDescent="0.25">
      <c r="A7" s="435" t="s">
        <v>2</v>
      </c>
      <c r="B7" s="437" t="s">
        <v>3</v>
      </c>
      <c r="C7" s="437" t="s">
        <v>4</v>
      </c>
      <c r="D7" s="202" t="s">
        <v>5</v>
      </c>
      <c r="E7" s="441" t="s">
        <v>475</v>
      </c>
      <c r="F7" s="441"/>
      <c r="G7" s="441"/>
      <c r="H7" s="439" t="s">
        <v>6</v>
      </c>
      <c r="I7" s="442" t="s">
        <v>7</v>
      </c>
      <c r="J7" s="9"/>
    </row>
    <row r="8" spans="1:15" s="10" customFormat="1" ht="29.25" customHeight="1" thickBot="1" x14ac:dyDescent="0.3">
      <c r="A8" s="436"/>
      <c r="B8" s="438"/>
      <c r="C8" s="438"/>
      <c r="D8" s="203" t="s">
        <v>632</v>
      </c>
      <c r="E8" s="204" t="s">
        <v>476</v>
      </c>
      <c r="F8" s="204" t="s">
        <v>477</v>
      </c>
      <c r="G8" s="204" t="s">
        <v>478</v>
      </c>
      <c r="H8" s="440"/>
      <c r="I8" s="443"/>
      <c r="J8" s="9"/>
    </row>
    <row r="9" spans="1:15" s="16" customFormat="1" ht="14.65" customHeight="1" x14ac:dyDescent="0.25">
      <c r="A9" s="11">
        <v>1</v>
      </c>
      <c r="B9" s="12">
        <v>2</v>
      </c>
      <c r="C9" s="13">
        <v>3</v>
      </c>
      <c r="D9" s="14">
        <v>4</v>
      </c>
      <c r="E9" s="14">
        <v>5</v>
      </c>
      <c r="F9" s="14">
        <v>6</v>
      </c>
      <c r="G9" s="15" t="s">
        <v>582</v>
      </c>
      <c r="H9" s="235" t="s">
        <v>583</v>
      </c>
      <c r="I9" s="205">
        <v>9</v>
      </c>
      <c r="J9" s="7"/>
    </row>
    <row r="10" spans="1:15" x14ac:dyDescent="0.25">
      <c r="A10" s="17"/>
      <c r="B10" s="18"/>
      <c r="C10" s="19"/>
      <c r="D10" s="20"/>
      <c r="E10" s="20"/>
      <c r="F10" s="20"/>
      <c r="G10" s="20"/>
      <c r="H10" s="21"/>
      <c r="I10" s="206"/>
    </row>
    <row r="11" spans="1:15" s="176" customFormat="1" ht="25.5" customHeight="1" x14ac:dyDescent="0.25">
      <c r="A11" s="169"/>
      <c r="B11" s="167" t="s">
        <v>8</v>
      </c>
      <c r="C11" s="185" t="s">
        <v>9</v>
      </c>
      <c r="D11" s="191">
        <f>SUM(D12+D225+D439)</f>
        <v>1141467482471</v>
      </c>
      <c r="E11" s="191">
        <f>SUM(E12+E225+E439)</f>
        <v>154803417095.01999</v>
      </c>
      <c r="F11" s="191">
        <f>SUM(F12+F225+F439)</f>
        <v>70216854077.740005</v>
      </c>
      <c r="G11" s="191">
        <f>SUM(G12+G225+G439)</f>
        <v>225020271172.76001</v>
      </c>
      <c r="H11" s="236">
        <f>G11/D11</f>
        <v>0.19713244102726935</v>
      </c>
      <c r="I11" s="207"/>
      <c r="J11" s="175"/>
    </row>
    <row r="12" spans="1:15" s="176" customFormat="1" ht="27.75" customHeight="1" x14ac:dyDescent="0.25">
      <c r="A12" s="126" t="s">
        <v>10</v>
      </c>
      <c r="B12" s="127" t="s">
        <v>11</v>
      </c>
      <c r="C12" s="41" t="s">
        <v>12</v>
      </c>
      <c r="D12" s="42">
        <f>SUM(D13+D14+D96+D102)</f>
        <v>392981073390</v>
      </c>
      <c r="E12" s="42">
        <f>SUM(E13+E14+E96+E102)</f>
        <v>29673587195.02</v>
      </c>
      <c r="F12" s="42">
        <f>SUM(F13+F14+F96+F102)</f>
        <v>23975305277.740002</v>
      </c>
      <c r="G12" s="42">
        <f>SUM(G13+G14+G96+G102)</f>
        <v>53648892472.760002</v>
      </c>
      <c r="H12" s="237">
        <f>G12/D12</f>
        <v>0.13651775137658623</v>
      </c>
      <c r="I12" s="208"/>
      <c r="J12" s="175"/>
    </row>
    <row r="13" spans="1:15" s="176" customFormat="1" ht="25.5" customHeight="1" x14ac:dyDescent="0.25">
      <c r="A13" s="169" t="s">
        <v>13</v>
      </c>
      <c r="B13" s="167" t="s">
        <v>14</v>
      </c>
      <c r="C13" s="185" t="s">
        <v>15</v>
      </c>
      <c r="D13" s="191">
        <f>SUM(D17+D18+D19+D20+D21+D25+D22+D23+D26+D24+D27)</f>
        <v>197002700000</v>
      </c>
      <c r="E13" s="191">
        <f t="shared" ref="E13:G13" si="0">SUM(E17+E18+E19+E20+E21+E25+E22+E23+E26+E24+E27)</f>
        <v>13816555132</v>
      </c>
      <c r="F13" s="191">
        <f t="shared" si="0"/>
        <v>10173396070</v>
      </c>
      <c r="G13" s="191">
        <f t="shared" si="0"/>
        <v>23989951202</v>
      </c>
      <c r="H13" s="236">
        <f>G13/D13</f>
        <v>0.12177473304680596</v>
      </c>
      <c r="I13" s="209"/>
      <c r="J13" s="175"/>
      <c r="K13" s="270"/>
    </row>
    <row r="14" spans="1:15" s="176" customFormat="1" ht="25.5" customHeight="1" x14ac:dyDescent="0.25">
      <c r="A14" s="169" t="s">
        <v>16</v>
      </c>
      <c r="B14" s="167" t="s">
        <v>17</v>
      </c>
      <c r="C14" s="185" t="s">
        <v>18</v>
      </c>
      <c r="D14" s="191">
        <f>SUM(D29+D47+D52+D58+D63+D70+D74+D79+D91+D87+D40)</f>
        <v>47985440000</v>
      </c>
      <c r="E14" s="191">
        <f t="shared" ref="E14:G14" si="1">SUM(E29+E47+E52+E58+E63+E70+E74+E79+E91+E87+E40)</f>
        <v>3679265600</v>
      </c>
      <c r="F14" s="191">
        <f t="shared" si="1"/>
        <v>2673072200</v>
      </c>
      <c r="G14" s="191">
        <f t="shared" si="1"/>
        <v>6352337800</v>
      </c>
      <c r="H14" s="236">
        <f>G14/D14</f>
        <v>0.13238052625963209</v>
      </c>
      <c r="I14" s="209"/>
      <c r="J14" s="280"/>
      <c r="K14" s="281"/>
      <c r="L14" s="282"/>
      <c r="M14" s="282"/>
      <c r="N14" s="282"/>
      <c r="O14" s="282"/>
    </row>
    <row r="15" spans="1:15" s="176" customFormat="1" x14ac:dyDescent="0.25">
      <c r="A15" s="169"/>
      <c r="B15" s="22"/>
      <c r="C15" s="185"/>
      <c r="D15" s="191"/>
      <c r="E15" s="191"/>
      <c r="F15" s="191"/>
      <c r="G15" s="191"/>
      <c r="H15" s="236"/>
      <c r="I15" s="209"/>
      <c r="J15" s="280"/>
      <c r="K15" s="282"/>
      <c r="L15" s="282"/>
      <c r="M15" s="282"/>
      <c r="N15" s="282"/>
      <c r="O15" s="282"/>
    </row>
    <row r="16" spans="1:15" s="187" customFormat="1" ht="22.5" customHeight="1" x14ac:dyDescent="0.25">
      <c r="A16" s="23" t="s">
        <v>19</v>
      </c>
      <c r="B16" s="46" t="s">
        <v>281</v>
      </c>
      <c r="C16" s="185" t="s">
        <v>1</v>
      </c>
      <c r="D16" s="196">
        <f>SUM(D17:D27)</f>
        <v>197002700000</v>
      </c>
      <c r="E16" s="196">
        <f>SUM(E17:E27)</f>
        <v>13816555132</v>
      </c>
      <c r="F16" s="196">
        <f>SUM(F17:F27)</f>
        <v>10173396070</v>
      </c>
      <c r="G16" s="191">
        <f>SUM(G17:G27)</f>
        <v>23989951202</v>
      </c>
      <c r="H16" s="236">
        <f t="shared" ref="H16:H27" si="2">G16/D16</f>
        <v>0.12177473304680596</v>
      </c>
      <c r="I16" s="210"/>
      <c r="J16" s="297"/>
      <c r="K16" s="298"/>
      <c r="L16" s="279"/>
      <c r="M16" s="279"/>
      <c r="N16" s="279"/>
      <c r="O16" s="279"/>
    </row>
    <row r="17" spans="1:15" s="176" customFormat="1" ht="18.75" customHeight="1" x14ac:dyDescent="0.25">
      <c r="A17" s="188"/>
      <c r="B17" s="177" t="s">
        <v>269</v>
      </c>
      <c r="C17" s="183" t="s">
        <v>20</v>
      </c>
      <c r="D17" s="192">
        <v>6000000000</v>
      </c>
      <c r="E17" s="192">
        <f>'Realisasi Februari'!G17</f>
        <v>804643814</v>
      </c>
      <c r="F17" s="192">
        <v>332204686</v>
      </c>
      <c r="G17" s="192">
        <f>E17+F17</f>
        <v>1136848500</v>
      </c>
      <c r="H17" s="24">
        <f t="shared" si="2"/>
        <v>0.18947475</v>
      </c>
      <c r="I17" s="211" t="s">
        <v>21</v>
      </c>
      <c r="J17" s="294"/>
      <c r="K17" s="296"/>
      <c r="L17" s="282"/>
      <c r="M17" s="282"/>
      <c r="N17" s="282"/>
      <c r="O17" s="282"/>
    </row>
    <row r="18" spans="1:15" s="176" customFormat="1" ht="18.75" customHeight="1" x14ac:dyDescent="0.25">
      <c r="A18" s="188"/>
      <c r="B18" s="177" t="s">
        <v>270</v>
      </c>
      <c r="C18" s="183" t="s">
        <v>22</v>
      </c>
      <c r="D18" s="192">
        <v>9500000000</v>
      </c>
      <c r="E18" s="192">
        <f>'Realisasi Februari'!G18</f>
        <v>1673882821</v>
      </c>
      <c r="F18" s="192">
        <v>627649161</v>
      </c>
      <c r="G18" s="192">
        <f t="shared" ref="G18:G27" si="3">E18+F18</f>
        <v>2301531982</v>
      </c>
      <c r="H18" s="24">
        <f t="shared" si="2"/>
        <v>0.24226652442105262</v>
      </c>
      <c r="I18" s="212" t="s">
        <v>23</v>
      </c>
      <c r="J18" s="294"/>
      <c r="K18" s="296"/>
      <c r="L18" s="282"/>
      <c r="M18" s="282" t="s">
        <v>629</v>
      </c>
      <c r="N18" s="282"/>
      <c r="O18" s="282"/>
    </row>
    <row r="19" spans="1:15" s="176" customFormat="1" ht="18.75" customHeight="1" x14ac:dyDescent="0.25">
      <c r="A19" s="188"/>
      <c r="B19" s="177" t="s">
        <v>271</v>
      </c>
      <c r="C19" s="183" t="s">
        <v>24</v>
      </c>
      <c r="D19" s="192">
        <v>1500000000</v>
      </c>
      <c r="E19" s="192">
        <f>'Realisasi Februari'!G19</f>
        <v>288308584</v>
      </c>
      <c r="F19" s="192">
        <v>108011541</v>
      </c>
      <c r="G19" s="192">
        <f t="shared" si="3"/>
        <v>396320125</v>
      </c>
      <c r="H19" s="24">
        <f t="shared" si="2"/>
        <v>0.26421341666666665</v>
      </c>
      <c r="I19" s="211" t="s">
        <v>25</v>
      </c>
      <c r="J19" s="294"/>
      <c r="K19" s="296"/>
      <c r="L19" s="282"/>
      <c r="M19" s="282"/>
      <c r="N19" s="282"/>
      <c r="O19" s="282"/>
    </row>
    <row r="20" spans="1:15" s="176" customFormat="1" ht="18.75" customHeight="1" x14ac:dyDescent="0.25">
      <c r="A20" s="188"/>
      <c r="B20" s="177" t="s">
        <v>272</v>
      </c>
      <c r="C20" s="183" t="s">
        <v>26</v>
      </c>
      <c r="D20" s="192">
        <v>3500000000</v>
      </c>
      <c r="E20" s="192">
        <f>'Realisasi Februari'!G20</f>
        <v>580207620</v>
      </c>
      <c r="F20" s="192">
        <v>255278023</v>
      </c>
      <c r="G20" s="192">
        <f t="shared" si="3"/>
        <v>835485643</v>
      </c>
      <c r="H20" s="24">
        <f t="shared" si="2"/>
        <v>0.23871018371428571</v>
      </c>
      <c r="I20" s="211" t="s">
        <v>27</v>
      </c>
      <c r="J20" s="294"/>
      <c r="K20" s="296"/>
      <c r="L20" s="282"/>
      <c r="M20" s="282"/>
      <c r="N20" s="282"/>
      <c r="O20" s="282"/>
    </row>
    <row r="21" spans="1:15" s="176" customFormat="1" ht="18.75" customHeight="1" x14ac:dyDescent="0.25">
      <c r="A21" s="188"/>
      <c r="B21" s="177" t="s">
        <v>676</v>
      </c>
      <c r="C21" s="183" t="s">
        <v>677</v>
      </c>
      <c r="D21" s="192">
        <v>51000000000</v>
      </c>
      <c r="E21" s="192">
        <f>'Realisasi Februari'!G21</f>
        <v>8614260766</v>
      </c>
      <c r="F21" s="192">
        <f>534668360+3286613736+30000</f>
        <v>3821312096</v>
      </c>
      <c r="G21" s="192">
        <f t="shared" si="3"/>
        <v>12435572862</v>
      </c>
      <c r="H21" s="24">
        <f t="shared" si="2"/>
        <v>0.24383476200000001</v>
      </c>
      <c r="I21" s="211" t="s">
        <v>28</v>
      </c>
      <c r="J21" s="294"/>
      <c r="K21" s="296"/>
      <c r="L21" s="282"/>
      <c r="M21" s="282"/>
      <c r="N21" s="282"/>
      <c r="O21" s="282"/>
    </row>
    <row r="22" spans="1:15" s="176" customFormat="1" ht="18.75" customHeight="1" x14ac:dyDescent="0.25">
      <c r="A22" s="188"/>
      <c r="B22" s="177" t="s">
        <v>273</v>
      </c>
      <c r="C22" s="183" t="s">
        <v>31</v>
      </c>
      <c r="D22" s="192">
        <v>1800000000</v>
      </c>
      <c r="E22" s="192">
        <f>'Realisasi Februari'!G22</f>
        <v>134297400</v>
      </c>
      <c r="F22" s="192">
        <v>48665400</v>
      </c>
      <c r="G22" s="192">
        <f t="shared" si="3"/>
        <v>182962800</v>
      </c>
      <c r="H22" s="24">
        <f t="shared" si="2"/>
        <v>0.101646</v>
      </c>
      <c r="I22" s="213" t="s">
        <v>32</v>
      </c>
      <c r="J22" s="294"/>
      <c r="K22" s="296"/>
      <c r="L22" s="282"/>
      <c r="M22" s="282"/>
      <c r="N22" s="282"/>
      <c r="O22" s="282"/>
    </row>
    <row r="23" spans="1:15" s="176" customFormat="1" ht="18.75" customHeight="1" x14ac:dyDescent="0.25">
      <c r="A23" s="188"/>
      <c r="B23" s="177" t="s">
        <v>274</v>
      </c>
      <c r="C23" s="183" t="s">
        <v>33</v>
      </c>
      <c r="D23" s="192">
        <v>1430800000</v>
      </c>
      <c r="E23" s="192">
        <f>'Realisasi Februari'!G23</f>
        <v>119143613</v>
      </c>
      <c r="F23" s="192">
        <v>143772926</v>
      </c>
      <c r="G23" s="192">
        <f t="shared" si="3"/>
        <v>262916539</v>
      </c>
      <c r="H23" s="24">
        <f t="shared" si="2"/>
        <v>0.1837549196253844</v>
      </c>
      <c r="I23" s="213" t="s">
        <v>34</v>
      </c>
      <c r="J23" s="294"/>
      <c r="K23" s="296"/>
      <c r="L23" s="282"/>
      <c r="M23" s="282"/>
      <c r="N23" s="282"/>
      <c r="O23" s="282"/>
    </row>
    <row r="24" spans="1:15" s="176" customFormat="1" ht="18.75" customHeight="1" x14ac:dyDescent="0.25">
      <c r="A24" s="188"/>
      <c r="B24" s="177" t="s">
        <v>275</v>
      </c>
      <c r="C24" s="183" t="s">
        <v>35</v>
      </c>
      <c r="D24" s="192">
        <v>115200000</v>
      </c>
      <c r="E24" s="192">
        <f>'Realisasi Februari'!G24</f>
        <v>23795850</v>
      </c>
      <c r="F24" s="192">
        <v>602050</v>
      </c>
      <c r="G24" s="192">
        <f t="shared" si="3"/>
        <v>24397900</v>
      </c>
      <c r="H24" s="24">
        <f t="shared" si="2"/>
        <v>0.21178732638888889</v>
      </c>
      <c r="I24" s="213" t="s">
        <v>36</v>
      </c>
      <c r="J24" s="294"/>
      <c r="K24" s="296"/>
      <c r="L24" s="282"/>
      <c r="M24" s="282"/>
      <c r="N24" s="282"/>
      <c r="O24" s="282"/>
    </row>
    <row r="25" spans="1:15" s="176" customFormat="1" ht="18.75" customHeight="1" x14ac:dyDescent="0.25">
      <c r="A25" s="188"/>
      <c r="B25" s="177" t="s">
        <v>276</v>
      </c>
      <c r="C25" s="183" t="s">
        <v>29</v>
      </c>
      <c r="D25" s="192">
        <v>1606700000</v>
      </c>
      <c r="E25" s="192">
        <f>'Realisasi Februari'!G25</f>
        <v>0</v>
      </c>
      <c r="F25" s="192">
        <v>0</v>
      </c>
      <c r="G25" s="192">
        <f t="shared" si="3"/>
        <v>0</v>
      </c>
      <c r="H25" s="24">
        <f t="shared" si="2"/>
        <v>0</v>
      </c>
      <c r="I25" s="214" t="s">
        <v>30</v>
      </c>
      <c r="J25" s="294"/>
      <c r="K25" s="296"/>
      <c r="L25" s="295"/>
      <c r="M25" s="295"/>
      <c r="N25" s="282"/>
      <c r="O25" s="282"/>
    </row>
    <row r="26" spans="1:15" s="176" customFormat="1" ht="18.75" customHeight="1" x14ac:dyDescent="0.25">
      <c r="A26" s="188"/>
      <c r="B26" s="177" t="s">
        <v>277</v>
      </c>
      <c r="C26" s="171" t="s">
        <v>278</v>
      </c>
      <c r="D26" s="178">
        <v>101000000000</v>
      </c>
      <c r="E26" s="192">
        <f>'Realisasi Februari'!G26</f>
        <v>512512512</v>
      </c>
      <c r="F26" s="178">
        <v>2858874565</v>
      </c>
      <c r="G26" s="192">
        <f t="shared" si="3"/>
        <v>3371387077</v>
      </c>
      <c r="H26" s="24">
        <f t="shared" si="2"/>
        <v>3.3380070069306933E-2</v>
      </c>
      <c r="I26" s="213" t="s">
        <v>37</v>
      </c>
      <c r="J26" s="294"/>
      <c r="K26" s="296"/>
      <c r="L26" s="295"/>
      <c r="M26" s="295"/>
    </row>
    <row r="27" spans="1:15" s="176" customFormat="1" x14ac:dyDescent="0.25">
      <c r="A27" s="188"/>
      <c r="B27" s="177" t="s">
        <v>279</v>
      </c>
      <c r="C27" s="183" t="s">
        <v>38</v>
      </c>
      <c r="D27" s="178">
        <v>19550000000</v>
      </c>
      <c r="E27" s="192">
        <f>'Realisasi Februari'!G27</f>
        <v>1065502152</v>
      </c>
      <c r="F27" s="178">
        <v>1977025622</v>
      </c>
      <c r="G27" s="192">
        <f t="shared" si="3"/>
        <v>3042527774</v>
      </c>
      <c r="H27" s="24">
        <f t="shared" si="2"/>
        <v>0.15562801913043478</v>
      </c>
      <c r="I27" s="215" t="s">
        <v>474</v>
      </c>
      <c r="J27" s="294"/>
      <c r="K27" s="296"/>
      <c r="L27" s="295"/>
      <c r="M27" s="295"/>
    </row>
    <row r="28" spans="1:15" s="176" customFormat="1" x14ac:dyDescent="0.25">
      <c r="A28" s="169"/>
      <c r="B28" s="22"/>
      <c r="C28" s="25"/>
      <c r="D28" s="191"/>
      <c r="E28" s="192"/>
      <c r="F28" s="191"/>
      <c r="G28" s="191"/>
      <c r="H28" s="236"/>
      <c r="I28" s="216"/>
      <c r="J28" s="294"/>
      <c r="K28" s="295"/>
    </row>
    <row r="29" spans="1:15" s="187" customFormat="1" x14ac:dyDescent="0.25">
      <c r="A29" s="26" t="s">
        <v>39</v>
      </c>
      <c r="B29" s="22" t="s">
        <v>282</v>
      </c>
      <c r="C29" s="185" t="s">
        <v>40</v>
      </c>
      <c r="D29" s="196">
        <f>D30</f>
        <v>1000000000</v>
      </c>
      <c r="E29" s="196">
        <f t="shared" ref="E29:G29" si="4">E30</f>
        <v>66358000</v>
      </c>
      <c r="F29" s="196">
        <f t="shared" si="4"/>
        <v>99930000</v>
      </c>
      <c r="G29" s="196">
        <f t="shared" si="4"/>
        <v>166288000</v>
      </c>
      <c r="H29" s="236">
        <f t="shared" ref="H29:H35" si="5">G29/D29</f>
        <v>0.16628799999999999</v>
      </c>
      <c r="I29" s="216"/>
      <c r="J29" s="297"/>
      <c r="K29" s="298"/>
    </row>
    <row r="30" spans="1:15" s="187" customFormat="1" x14ac:dyDescent="0.25">
      <c r="A30" s="26" t="s">
        <v>413</v>
      </c>
      <c r="B30" s="170" t="s">
        <v>288</v>
      </c>
      <c r="C30" s="185" t="s">
        <v>55</v>
      </c>
      <c r="D30" s="196">
        <f>D31+D37</f>
        <v>1000000000</v>
      </c>
      <c r="E30" s="196">
        <f t="shared" ref="E30:G30" si="6">E31+E37</f>
        <v>66358000</v>
      </c>
      <c r="F30" s="196">
        <f t="shared" si="6"/>
        <v>99930000</v>
      </c>
      <c r="G30" s="196">
        <f t="shared" si="6"/>
        <v>166288000</v>
      </c>
      <c r="H30" s="236">
        <f t="shared" si="5"/>
        <v>0.16628799999999999</v>
      </c>
      <c r="I30" s="216"/>
      <c r="J30" s="297"/>
      <c r="K30" s="298"/>
    </row>
    <row r="31" spans="1:15" s="176" customFormat="1" x14ac:dyDescent="0.25">
      <c r="A31" s="188"/>
      <c r="B31" s="179" t="s">
        <v>488</v>
      </c>
      <c r="C31" s="185" t="s">
        <v>280</v>
      </c>
      <c r="D31" s="191">
        <f>SUM(D32:D35)</f>
        <v>750000000</v>
      </c>
      <c r="E31" s="191">
        <f t="shared" ref="E31:F31" si="7">SUM(E32:E35)</f>
        <v>51822000</v>
      </c>
      <c r="F31" s="191">
        <f t="shared" si="7"/>
        <v>36826000</v>
      </c>
      <c r="G31" s="191">
        <f>SUM(G32:G35)</f>
        <v>88648000</v>
      </c>
      <c r="H31" s="236">
        <f t="shared" si="5"/>
        <v>0.11819733333333333</v>
      </c>
      <c r="I31" s="207" t="s">
        <v>41</v>
      </c>
      <c r="J31" s="294"/>
      <c r="K31" s="295"/>
    </row>
    <row r="32" spans="1:15" s="176" customFormat="1" x14ac:dyDescent="0.25">
      <c r="A32" s="188"/>
      <c r="B32" s="177" t="s">
        <v>489</v>
      </c>
      <c r="C32" s="183" t="s">
        <v>42</v>
      </c>
      <c r="D32" s="192">
        <v>220000000</v>
      </c>
      <c r="E32" s="192">
        <f>'Realisasi Februari'!G32</f>
        <v>10082000</v>
      </c>
      <c r="F32" s="192">
        <v>7371000</v>
      </c>
      <c r="G32" s="192">
        <f>E32+F32</f>
        <v>17453000</v>
      </c>
      <c r="H32" s="24">
        <f t="shared" si="5"/>
        <v>7.9331818181818184E-2</v>
      </c>
      <c r="I32" s="207"/>
      <c r="J32" s="294"/>
      <c r="K32" s="295"/>
    </row>
    <row r="33" spans="1:10" s="176" customFormat="1" x14ac:dyDescent="0.25">
      <c r="A33" s="188"/>
      <c r="B33" s="177" t="s">
        <v>490</v>
      </c>
      <c r="C33" s="183" t="s">
        <v>43</v>
      </c>
      <c r="D33" s="192">
        <v>494000000</v>
      </c>
      <c r="E33" s="192">
        <f>'Realisasi Februari'!G33</f>
        <v>37990000</v>
      </c>
      <c r="F33" s="192">
        <v>25705000</v>
      </c>
      <c r="G33" s="192">
        <f t="shared" ref="G33:G35" si="8">E33+F33</f>
        <v>63695000</v>
      </c>
      <c r="H33" s="24">
        <f t="shared" si="5"/>
        <v>0.12893724696356276</v>
      </c>
      <c r="I33" s="207"/>
      <c r="J33" s="175"/>
    </row>
    <row r="34" spans="1:10" s="176" customFormat="1" x14ac:dyDescent="0.25">
      <c r="A34" s="188"/>
      <c r="B34" s="177" t="s">
        <v>491</v>
      </c>
      <c r="C34" s="183" t="s">
        <v>44</v>
      </c>
      <c r="D34" s="192">
        <v>36000000</v>
      </c>
      <c r="E34" s="192">
        <f>'Realisasi Februari'!G34</f>
        <v>3750000</v>
      </c>
      <c r="F34" s="192">
        <f>'[2]2022'!$G$32</f>
        <v>3750000</v>
      </c>
      <c r="G34" s="192">
        <f t="shared" si="8"/>
        <v>7500000</v>
      </c>
      <c r="H34" s="24">
        <f t="shared" si="5"/>
        <v>0.20833333333333334</v>
      </c>
      <c r="I34" s="207"/>
      <c r="J34" s="175"/>
    </row>
    <row r="35" spans="1:10" s="176" customFormat="1" hidden="1" x14ac:dyDescent="0.25">
      <c r="A35" s="188"/>
      <c r="B35" s="177"/>
      <c r="C35" s="183" t="s">
        <v>45</v>
      </c>
      <c r="D35" s="192"/>
      <c r="E35" s="192">
        <f>'Realisasi Februari'!G35</f>
        <v>0</v>
      </c>
      <c r="F35" s="192"/>
      <c r="G35" s="192">
        <f t="shared" si="8"/>
        <v>0</v>
      </c>
      <c r="H35" s="24" t="e">
        <f t="shared" si="5"/>
        <v>#DIV/0!</v>
      </c>
      <c r="I35" s="207"/>
      <c r="J35" s="175"/>
    </row>
    <row r="36" spans="1:10" s="176" customFormat="1" ht="15" customHeight="1" x14ac:dyDescent="0.25">
      <c r="A36" s="188"/>
      <c r="B36" s="177"/>
      <c r="C36" s="166"/>
      <c r="D36" s="192"/>
      <c r="E36" s="192"/>
      <c r="F36" s="192"/>
      <c r="G36" s="192"/>
      <c r="H36" s="24"/>
      <c r="I36" s="207"/>
      <c r="J36" s="175"/>
    </row>
    <row r="37" spans="1:10" s="187" customFormat="1" x14ac:dyDescent="0.25">
      <c r="A37" s="26" t="s">
        <v>414</v>
      </c>
      <c r="B37" s="170" t="s">
        <v>492</v>
      </c>
      <c r="C37" s="185" t="s">
        <v>494</v>
      </c>
      <c r="D37" s="196">
        <f>D38</f>
        <v>250000000</v>
      </c>
      <c r="E37" s="196">
        <f t="shared" ref="E37:G37" si="9">E38</f>
        <v>14536000</v>
      </c>
      <c r="F37" s="196">
        <f t="shared" si="9"/>
        <v>63104000</v>
      </c>
      <c r="G37" s="196">
        <f t="shared" si="9"/>
        <v>77640000</v>
      </c>
      <c r="H37" s="236">
        <f>G37/D37</f>
        <v>0.31056</v>
      </c>
      <c r="I37" s="216"/>
      <c r="J37" s="186"/>
    </row>
    <row r="38" spans="1:10" s="176" customFormat="1" x14ac:dyDescent="0.25">
      <c r="A38" s="188"/>
      <c r="B38" s="177" t="s">
        <v>493</v>
      </c>
      <c r="C38" s="183" t="s">
        <v>495</v>
      </c>
      <c r="D38" s="192">
        <v>250000000</v>
      </c>
      <c r="E38" s="192">
        <f>'Realisasi Februari'!G38</f>
        <v>14536000</v>
      </c>
      <c r="F38" s="192">
        <v>63104000</v>
      </c>
      <c r="G38" s="181">
        <f>E38+F38</f>
        <v>77640000</v>
      </c>
      <c r="H38" s="24">
        <f>G38/D38</f>
        <v>0.31056</v>
      </c>
      <c r="I38" s="207" t="s">
        <v>41</v>
      </c>
      <c r="J38" s="175"/>
    </row>
    <row r="39" spans="1:10" s="176" customFormat="1" ht="15" customHeight="1" x14ac:dyDescent="0.25">
      <c r="A39" s="188"/>
      <c r="B39" s="177"/>
      <c r="C39" s="166"/>
      <c r="D39" s="192"/>
      <c r="E39" s="192"/>
      <c r="F39" s="192"/>
      <c r="G39" s="192"/>
      <c r="H39" s="24"/>
      <c r="I39" s="207"/>
      <c r="J39" s="175"/>
    </row>
    <row r="40" spans="1:10" s="176" customFormat="1" x14ac:dyDescent="0.25">
      <c r="A40" s="168" t="s">
        <v>46</v>
      </c>
      <c r="B40" s="22" t="s">
        <v>592</v>
      </c>
      <c r="C40" s="185" t="s">
        <v>594</v>
      </c>
      <c r="D40" s="196">
        <f>SUM(D41)</f>
        <v>135000000</v>
      </c>
      <c r="E40" s="196">
        <f t="shared" ref="E40:G40" si="10">SUM(E41)</f>
        <v>6000000</v>
      </c>
      <c r="F40" s="196">
        <f t="shared" si="10"/>
        <v>8600000</v>
      </c>
      <c r="G40" s="196">
        <f t="shared" si="10"/>
        <v>14600000</v>
      </c>
      <c r="H40" s="236">
        <f t="shared" ref="H40:H45" si="11">G40/D40</f>
        <v>0.10814814814814815</v>
      </c>
      <c r="I40" s="207"/>
      <c r="J40" s="175"/>
    </row>
    <row r="41" spans="1:10" s="176" customFormat="1" x14ac:dyDescent="0.25">
      <c r="A41" s="188"/>
      <c r="B41" s="170" t="s">
        <v>285</v>
      </c>
      <c r="C41" s="185" t="s">
        <v>444</v>
      </c>
      <c r="D41" s="191">
        <f>D42</f>
        <v>135000000</v>
      </c>
      <c r="E41" s="191">
        <f t="shared" ref="E41:G41" si="12">E42</f>
        <v>6000000</v>
      </c>
      <c r="F41" s="191">
        <f t="shared" si="12"/>
        <v>8600000</v>
      </c>
      <c r="G41" s="191">
        <f t="shared" si="12"/>
        <v>14600000</v>
      </c>
      <c r="H41" s="236">
        <f t="shared" si="11"/>
        <v>0.10814814814814815</v>
      </c>
      <c r="I41" s="207"/>
      <c r="J41" s="175"/>
    </row>
    <row r="42" spans="1:10" s="187" customFormat="1" x14ac:dyDescent="0.25">
      <c r="A42" s="169"/>
      <c r="B42" s="170" t="s">
        <v>284</v>
      </c>
      <c r="C42" s="185" t="s">
        <v>595</v>
      </c>
      <c r="D42" s="191">
        <f>SUM(D43)</f>
        <v>135000000</v>
      </c>
      <c r="E42" s="191">
        <f t="shared" ref="E42:G42" si="13">SUM(E43)</f>
        <v>6000000</v>
      </c>
      <c r="F42" s="191">
        <f t="shared" si="13"/>
        <v>8600000</v>
      </c>
      <c r="G42" s="191">
        <f t="shared" si="13"/>
        <v>14600000</v>
      </c>
      <c r="H42" s="236">
        <f t="shared" si="11"/>
        <v>0.10814814814814815</v>
      </c>
      <c r="I42" s="216"/>
      <c r="J42" s="186"/>
    </row>
    <row r="43" spans="1:10" s="176" customFormat="1" x14ac:dyDescent="0.25">
      <c r="A43" s="188"/>
      <c r="B43" s="170" t="s">
        <v>593</v>
      </c>
      <c r="C43" s="185" t="s">
        <v>595</v>
      </c>
      <c r="D43" s="191">
        <f>SUM(D44:D45)</f>
        <v>135000000</v>
      </c>
      <c r="E43" s="191">
        <f t="shared" ref="E43:G43" si="14">SUM(E44:E45)</f>
        <v>6000000</v>
      </c>
      <c r="F43" s="191">
        <f t="shared" si="14"/>
        <v>8600000</v>
      </c>
      <c r="G43" s="191">
        <f t="shared" si="14"/>
        <v>14600000</v>
      </c>
      <c r="H43" s="236">
        <f t="shared" si="11"/>
        <v>0.10814814814814815</v>
      </c>
      <c r="I43" s="207" t="s">
        <v>47</v>
      </c>
      <c r="J43" s="175"/>
    </row>
    <row r="44" spans="1:10" s="176" customFormat="1" x14ac:dyDescent="0.25">
      <c r="A44" s="188"/>
      <c r="B44" s="178"/>
      <c r="C44" s="193" t="s">
        <v>316</v>
      </c>
      <c r="D44" s="192">
        <v>5000000</v>
      </c>
      <c r="E44" s="192">
        <f>'Realisasi Februari'!G44</f>
        <v>0</v>
      </c>
      <c r="F44" s="192">
        <v>600000</v>
      </c>
      <c r="G44" s="192">
        <f>E44+F44</f>
        <v>600000</v>
      </c>
      <c r="H44" s="24">
        <f t="shared" si="11"/>
        <v>0.12</v>
      </c>
      <c r="I44" s="207"/>
      <c r="J44" s="175"/>
    </row>
    <row r="45" spans="1:10" s="176" customFormat="1" x14ac:dyDescent="0.25">
      <c r="A45" s="188"/>
      <c r="B45" s="178"/>
      <c r="C45" s="193" t="s">
        <v>317</v>
      </c>
      <c r="D45" s="192">
        <v>130000000</v>
      </c>
      <c r="E45" s="192">
        <f>'Realisasi Februari'!G45</f>
        <v>6000000</v>
      </c>
      <c r="F45" s="192">
        <v>8000000</v>
      </c>
      <c r="G45" s="192">
        <f>E45+F45</f>
        <v>14000000</v>
      </c>
      <c r="H45" s="24">
        <f t="shared" si="11"/>
        <v>0.1076923076923077</v>
      </c>
      <c r="I45" s="207"/>
      <c r="J45" s="175"/>
    </row>
    <row r="46" spans="1:10" s="176" customFormat="1" ht="15" customHeight="1" x14ac:dyDescent="0.25">
      <c r="A46" s="188"/>
      <c r="B46" s="177"/>
      <c r="C46" s="166"/>
      <c r="D46" s="192"/>
      <c r="E46" s="192"/>
      <c r="F46" s="192"/>
      <c r="G46" s="192"/>
      <c r="H46" s="24"/>
      <c r="I46" s="207"/>
      <c r="J46" s="175"/>
    </row>
    <row r="47" spans="1:10" s="176" customFormat="1" x14ac:dyDescent="0.25">
      <c r="A47" s="168" t="s">
        <v>8</v>
      </c>
      <c r="B47" s="22" t="s">
        <v>283</v>
      </c>
      <c r="C47" s="185" t="s">
        <v>48</v>
      </c>
      <c r="D47" s="196">
        <f>SUM(D48)</f>
        <v>50000000</v>
      </c>
      <c r="E47" s="196">
        <f t="shared" ref="E47:G47" si="15">SUM(E48)</f>
        <v>2400000</v>
      </c>
      <c r="F47" s="196">
        <f t="shared" si="15"/>
        <v>2700000</v>
      </c>
      <c r="G47" s="196">
        <f t="shared" si="15"/>
        <v>5100000</v>
      </c>
      <c r="H47" s="236">
        <f>G47/D47</f>
        <v>0.10199999999999999</v>
      </c>
      <c r="I47" s="207"/>
      <c r="J47" s="175"/>
    </row>
    <row r="48" spans="1:10" s="176" customFormat="1" x14ac:dyDescent="0.25">
      <c r="A48" s="188"/>
      <c r="B48" s="170" t="s">
        <v>285</v>
      </c>
      <c r="C48" s="185" t="s">
        <v>444</v>
      </c>
      <c r="D48" s="191">
        <f>D49</f>
        <v>50000000</v>
      </c>
      <c r="E48" s="191">
        <f t="shared" ref="E48:G48" si="16">E49</f>
        <v>2400000</v>
      </c>
      <c r="F48" s="191">
        <f t="shared" si="16"/>
        <v>2700000</v>
      </c>
      <c r="G48" s="191">
        <f t="shared" si="16"/>
        <v>5100000</v>
      </c>
      <c r="H48" s="236">
        <f>G48/D48</f>
        <v>0.10199999999999999</v>
      </c>
      <c r="I48" s="207"/>
      <c r="J48" s="175"/>
    </row>
    <row r="49" spans="1:11" s="187" customFormat="1" x14ac:dyDescent="0.25">
      <c r="A49" s="169"/>
      <c r="B49" s="170" t="s">
        <v>284</v>
      </c>
      <c r="C49" s="185" t="s">
        <v>286</v>
      </c>
      <c r="D49" s="191">
        <f>SUM(D50)</f>
        <v>50000000</v>
      </c>
      <c r="E49" s="191">
        <f t="shared" ref="E49:G49" si="17">SUM(E50)</f>
        <v>2400000</v>
      </c>
      <c r="F49" s="191">
        <f t="shared" si="17"/>
        <v>2700000</v>
      </c>
      <c r="G49" s="191">
        <f t="shared" si="17"/>
        <v>5100000</v>
      </c>
      <c r="H49" s="236">
        <f>G49/D49</f>
        <v>0.10199999999999999</v>
      </c>
      <c r="I49" s="216"/>
      <c r="J49" s="186"/>
    </row>
    <row r="50" spans="1:11" s="176" customFormat="1" x14ac:dyDescent="0.25">
      <c r="A50" s="188"/>
      <c r="B50" s="178" t="s">
        <v>496</v>
      </c>
      <c r="C50" s="183" t="s">
        <v>497</v>
      </c>
      <c r="D50" s="192">
        <v>50000000</v>
      </c>
      <c r="E50" s="192">
        <f>'Realisasi Februari'!G50</f>
        <v>2400000</v>
      </c>
      <c r="F50" s="192">
        <v>2700000</v>
      </c>
      <c r="G50" s="192">
        <f>E50+F50</f>
        <v>5100000</v>
      </c>
      <c r="H50" s="24">
        <f>G50/D50</f>
        <v>0.10199999999999999</v>
      </c>
      <c r="I50" s="207" t="s">
        <v>47</v>
      </c>
      <c r="J50" s="175"/>
    </row>
    <row r="51" spans="1:11" s="176" customFormat="1" x14ac:dyDescent="0.25">
      <c r="A51" s="169"/>
      <c r="B51" s="22"/>
      <c r="C51" s="25"/>
      <c r="D51" s="192"/>
      <c r="E51" s="192"/>
      <c r="F51" s="192"/>
      <c r="G51" s="191"/>
      <c r="H51" s="236"/>
      <c r="I51" s="207"/>
      <c r="J51" s="175"/>
    </row>
    <row r="52" spans="1:11" s="176" customFormat="1" x14ac:dyDescent="0.25">
      <c r="A52" s="168" t="s">
        <v>49</v>
      </c>
      <c r="B52" s="22" t="s">
        <v>287</v>
      </c>
      <c r="C52" s="185" t="s">
        <v>50</v>
      </c>
      <c r="D52" s="196">
        <f>D53</f>
        <v>750000000</v>
      </c>
      <c r="E52" s="196">
        <f t="shared" ref="E52:G54" si="18">E53</f>
        <v>125920000</v>
      </c>
      <c r="F52" s="196">
        <f t="shared" si="18"/>
        <v>86420000</v>
      </c>
      <c r="G52" s="196">
        <f t="shared" si="18"/>
        <v>212340000</v>
      </c>
      <c r="H52" s="236">
        <f>G52/D52</f>
        <v>0.28311999999999998</v>
      </c>
      <c r="I52" s="207"/>
      <c r="J52" s="175"/>
    </row>
    <row r="53" spans="1:11" s="187" customFormat="1" x14ac:dyDescent="0.25">
      <c r="A53" s="169"/>
      <c r="B53" s="170" t="s">
        <v>288</v>
      </c>
      <c r="C53" s="185" t="s">
        <v>55</v>
      </c>
      <c r="D53" s="191">
        <f>D54</f>
        <v>750000000</v>
      </c>
      <c r="E53" s="191">
        <f t="shared" si="18"/>
        <v>125920000</v>
      </c>
      <c r="F53" s="191">
        <f t="shared" si="18"/>
        <v>86420000</v>
      </c>
      <c r="G53" s="191">
        <f t="shared" si="18"/>
        <v>212340000</v>
      </c>
      <c r="H53" s="236">
        <f>G53/D53</f>
        <v>0.28311999999999998</v>
      </c>
      <c r="I53" s="216" t="s">
        <v>52</v>
      </c>
      <c r="J53" s="186"/>
    </row>
    <row r="54" spans="1:11" s="176" customFormat="1" x14ac:dyDescent="0.25">
      <c r="A54" s="188"/>
      <c r="B54" s="170" t="s">
        <v>499</v>
      </c>
      <c r="C54" s="185" t="s">
        <v>51</v>
      </c>
      <c r="D54" s="191">
        <f>D55</f>
        <v>750000000</v>
      </c>
      <c r="E54" s="191">
        <f t="shared" si="18"/>
        <v>125920000</v>
      </c>
      <c r="F54" s="191">
        <f t="shared" si="18"/>
        <v>86420000</v>
      </c>
      <c r="G54" s="191">
        <f t="shared" si="18"/>
        <v>212340000</v>
      </c>
      <c r="H54" s="236">
        <f>G54/D54</f>
        <v>0.28311999999999998</v>
      </c>
      <c r="I54" s="207"/>
      <c r="J54" s="175"/>
    </row>
    <row r="55" spans="1:11" s="176" customFormat="1" x14ac:dyDescent="0.25">
      <c r="A55" s="188"/>
      <c r="B55" s="178" t="s">
        <v>498</v>
      </c>
      <c r="C55" s="183" t="s">
        <v>51</v>
      </c>
      <c r="D55" s="192">
        <v>750000000</v>
      </c>
      <c r="E55" s="192">
        <f>'Realisasi Februari'!G55</f>
        <v>125920000</v>
      </c>
      <c r="F55" s="192">
        <v>86420000</v>
      </c>
      <c r="G55" s="192">
        <f>E55+F55</f>
        <v>212340000</v>
      </c>
      <c r="H55" s="24">
        <f>G55/D55</f>
        <v>0.28311999999999998</v>
      </c>
      <c r="I55" s="207"/>
      <c r="J55" s="175"/>
      <c r="K55" s="270"/>
    </row>
    <row r="56" spans="1:11" s="176" customFormat="1" x14ac:dyDescent="0.25">
      <c r="A56" s="169"/>
      <c r="B56" s="22"/>
      <c r="C56" s="25"/>
      <c r="D56" s="191"/>
      <c r="E56" s="191"/>
      <c r="F56" s="191"/>
      <c r="G56" s="191"/>
      <c r="H56" s="236"/>
      <c r="I56" s="217"/>
      <c r="J56" s="175"/>
    </row>
    <row r="57" spans="1:11" s="176" customFormat="1" x14ac:dyDescent="0.25">
      <c r="A57" s="168" t="s">
        <v>53</v>
      </c>
      <c r="B57" s="22" t="s">
        <v>289</v>
      </c>
      <c r="C57" s="185" t="s">
        <v>54</v>
      </c>
      <c r="D57" s="196">
        <f>D58+D63+D70</f>
        <v>30000000000</v>
      </c>
      <c r="E57" s="196">
        <f t="shared" ref="E57:G57" si="19">E58+E63+E70</f>
        <v>3470522600</v>
      </c>
      <c r="F57" s="196">
        <f t="shared" si="19"/>
        <v>2471507200</v>
      </c>
      <c r="G57" s="196">
        <f t="shared" si="19"/>
        <v>5942029800</v>
      </c>
      <c r="H57" s="236">
        <f t="shared" ref="H57:H72" si="20">G57/D57</f>
        <v>0.19806766000000001</v>
      </c>
      <c r="I57" s="209"/>
      <c r="J57" s="175"/>
    </row>
    <row r="58" spans="1:11" s="187" customFormat="1" x14ac:dyDescent="0.25">
      <c r="A58" s="169" t="s">
        <v>413</v>
      </c>
      <c r="B58" s="170" t="s">
        <v>288</v>
      </c>
      <c r="C58" s="185" t="s">
        <v>55</v>
      </c>
      <c r="D58" s="191">
        <f>D59+D61</f>
        <v>1829475000</v>
      </c>
      <c r="E58" s="191">
        <f t="shared" ref="E58:G58" si="21">E59+E61</f>
        <v>47809550</v>
      </c>
      <c r="F58" s="191">
        <f t="shared" si="21"/>
        <v>62410400</v>
      </c>
      <c r="G58" s="191">
        <f t="shared" si="21"/>
        <v>110219950</v>
      </c>
      <c r="H58" s="236">
        <f t="shared" si="20"/>
        <v>6.0246764782246276E-2</v>
      </c>
      <c r="I58" s="207"/>
      <c r="J58" s="186"/>
    </row>
    <row r="59" spans="1:11" s="187" customFormat="1" x14ac:dyDescent="0.25">
      <c r="A59" s="169"/>
      <c r="B59" s="170" t="s">
        <v>290</v>
      </c>
      <c r="C59" s="185" t="s">
        <v>56</v>
      </c>
      <c r="D59" s="191">
        <f>D60</f>
        <v>1000000000</v>
      </c>
      <c r="E59" s="191">
        <f t="shared" ref="E59:G59" si="22">E60</f>
        <v>33000000</v>
      </c>
      <c r="F59" s="191">
        <f t="shared" si="22"/>
        <v>48900000</v>
      </c>
      <c r="G59" s="191">
        <f t="shared" si="22"/>
        <v>81900000</v>
      </c>
      <c r="H59" s="236">
        <f t="shared" si="20"/>
        <v>8.1900000000000001E-2</v>
      </c>
      <c r="I59" s="207"/>
      <c r="J59" s="186"/>
    </row>
    <row r="60" spans="1:11" s="176" customFormat="1" x14ac:dyDescent="0.25">
      <c r="A60" s="188"/>
      <c r="B60" s="178" t="s">
        <v>500</v>
      </c>
      <c r="C60" s="183" t="s">
        <v>56</v>
      </c>
      <c r="D60" s="192">
        <v>1000000000</v>
      </c>
      <c r="E60" s="192">
        <f>'Realisasi Februari'!G60</f>
        <v>33000000</v>
      </c>
      <c r="F60" s="192">
        <v>48900000</v>
      </c>
      <c r="G60" s="192">
        <f>E60+F60</f>
        <v>81900000</v>
      </c>
      <c r="H60" s="24">
        <f t="shared" si="20"/>
        <v>8.1900000000000001E-2</v>
      </c>
      <c r="I60" s="207" t="s">
        <v>57</v>
      </c>
      <c r="J60" s="175"/>
    </row>
    <row r="61" spans="1:11" s="176" customFormat="1" x14ac:dyDescent="0.25">
      <c r="A61" s="188"/>
      <c r="B61" s="170" t="s">
        <v>291</v>
      </c>
      <c r="C61" s="185" t="s">
        <v>292</v>
      </c>
      <c r="D61" s="191">
        <f>D62</f>
        <v>829475000</v>
      </c>
      <c r="E61" s="191">
        <f t="shared" ref="E61:G61" si="23">E62</f>
        <v>14809550</v>
      </c>
      <c r="F61" s="191">
        <f t="shared" si="23"/>
        <v>13510400</v>
      </c>
      <c r="G61" s="191">
        <f t="shared" si="23"/>
        <v>28319950</v>
      </c>
      <c r="H61" s="236">
        <f t="shared" si="20"/>
        <v>3.4142017541215826E-2</v>
      </c>
      <c r="I61" s="207"/>
      <c r="J61" s="175"/>
    </row>
    <row r="62" spans="1:11" s="187" customFormat="1" ht="22.5" customHeight="1" x14ac:dyDescent="0.25">
      <c r="A62" s="169"/>
      <c r="B62" s="178" t="s">
        <v>501</v>
      </c>
      <c r="C62" s="183" t="s">
        <v>292</v>
      </c>
      <c r="D62" s="192">
        <v>829475000</v>
      </c>
      <c r="E62" s="192">
        <f>'Realisasi Februari'!G62</f>
        <v>14809550</v>
      </c>
      <c r="F62" s="192">
        <v>13510400</v>
      </c>
      <c r="G62" s="192">
        <f>E62+F62</f>
        <v>28319950</v>
      </c>
      <c r="H62" s="24">
        <f t="shared" si="20"/>
        <v>3.4142017541215826E-2</v>
      </c>
      <c r="I62" s="207" t="s">
        <v>58</v>
      </c>
      <c r="J62" s="186"/>
    </row>
    <row r="63" spans="1:11" s="176" customFormat="1" x14ac:dyDescent="0.25">
      <c r="A63" s="169" t="s">
        <v>414</v>
      </c>
      <c r="B63" s="170" t="s">
        <v>285</v>
      </c>
      <c r="C63" s="185" t="s">
        <v>444</v>
      </c>
      <c r="D63" s="191">
        <f>D64+D66+D68</f>
        <v>28168525000</v>
      </c>
      <c r="E63" s="191">
        <f t="shared" ref="E63:G63" si="24">E64+E66+E68</f>
        <v>3422713050</v>
      </c>
      <c r="F63" s="191">
        <f t="shared" si="24"/>
        <v>2409096800</v>
      </c>
      <c r="G63" s="191">
        <f t="shared" si="24"/>
        <v>5831809850</v>
      </c>
      <c r="H63" s="236">
        <f t="shared" si="20"/>
        <v>0.20703284428275887</v>
      </c>
      <c r="I63" s="207" t="s">
        <v>59</v>
      </c>
      <c r="J63" s="175"/>
    </row>
    <row r="64" spans="1:11" s="176" customFormat="1" x14ac:dyDescent="0.25">
      <c r="A64" s="169"/>
      <c r="B64" s="170" t="s">
        <v>293</v>
      </c>
      <c r="C64" s="185" t="s">
        <v>502</v>
      </c>
      <c r="D64" s="191">
        <f>D65</f>
        <v>74722500</v>
      </c>
      <c r="E64" s="191">
        <f t="shared" ref="E64:G64" si="25">E65</f>
        <v>22326000</v>
      </c>
      <c r="F64" s="191">
        <f t="shared" si="25"/>
        <v>900000</v>
      </c>
      <c r="G64" s="191">
        <f t="shared" si="25"/>
        <v>23226000</v>
      </c>
      <c r="H64" s="236">
        <f t="shared" si="20"/>
        <v>0.31083007126367562</v>
      </c>
      <c r="I64" s="207"/>
      <c r="J64" s="175"/>
    </row>
    <row r="65" spans="1:10" s="176" customFormat="1" x14ac:dyDescent="0.25">
      <c r="A65" s="188"/>
      <c r="B65" s="178" t="s">
        <v>503</v>
      </c>
      <c r="C65" s="183" t="s">
        <v>504</v>
      </c>
      <c r="D65" s="192">
        <v>74722500</v>
      </c>
      <c r="E65" s="192">
        <f>'Realisasi Februari'!G65</f>
        <v>22326000</v>
      </c>
      <c r="F65" s="192">
        <v>900000</v>
      </c>
      <c r="G65" s="192">
        <f>E65+F65</f>
        <v>23226000</v>
      </c>
      <c r="H65" s="24">
        <f t="shared" si="20"/>
        <v>0.31083007126367562</v>
      </c>
      <c r="I65" s="207"/>
      <c r="J65" s="175"/>
    </row>
    <row r="66" spans="1:10" s="176" customFormat="1" x14ac:dyDescent="0.25">
      <c r="A66" s="169"/>
      <c r="B66" s="170" t="s">
        <v>294</v>
      </c>
      <c r="C66" s="185" t="s">
        <v>295</v>
      </c>
      <c r="D66" s="191">
        <f>D67</f>
        <v>27808802500</v>
      </c>
      <c r="E66" s="191">
        <f t="shared" ref="E66:G66" si="26">E67</f>
        <v>3389872000</v>
      </c>
      <c r="F66" s="191">
        <f t="shared" si="26"/>
        <v>2404978000</v>
      </c>
      <c r="G66" s="191">
        <f t="shared" si="26"/>
        <v>5794850000</v>
      </c>
      <c r="H66" s="236">
        <f t="shared" si="20"/>
        <v>0.20838186038395576</v>
      </c>
      <c r="I66" s="218"/>
      <c r="J66" s="175"/>
    </row>
    <row r="67" spans="1:10" s="176" customFormat="1" x14ac:dyDescent="0.25">
      <c r="A67" s="188"/>
      <c r="B67" s="178" t="s">
        <v>505</v>
      </c>
      <c r="C67" s="183" t="s">
        <v>295</v>
      </c>
      <c r="D67" s="192">
        <v>27808802500</v>
      </c>
      <c r="E67" s="192">
        <f>'Realisasi Februari'!G67</f>
        <v>3389872000</v>
      </c>
      <c r="F67" s="192">
        <v>2404978000</v>
      </c>
      <c r="G67" s="192">
        <f>E67+F67</f>
        <v>5794850000</v>
      </c>
      <c r="H67" s="24">
        <f t="shared" si="20"/>
        <v>0.20838186038395576</v>
      </c>
      <c r="I67" s="218"/>
      <c r="J67" s="175"/>
    </row>
    <row r="68" spans="1:10" s="176" customFormat="1" x14ac:dyDescent="0.25">
      <c r="A68" s="188"/>
      <c r="B68" s="170" t="s">
        <v>296</v>
      </c>
      <c r="C68" s="185" t="s">
        <v>297</v>
      </c>
      <c r="D68" s="191">
        <f>SUM(D69)</f>
        <v>285000000</v>
      </c>
      <c r="E68" s="191">
        <f t="shared" ref="E68:G68" si="27">SUM(E69)</f>
        <v>10515050</v>
      </c>
      <c r="F68" s="191">
        <f t="shared" si="27"/>
        <v>3218800</v>
      </c>
      <c r="G68" s="191">
        <f t="shared" si="27"/>
        <v>13733850</v>
      </c>
      <c r="H68" s="24">
        <f t="shared" si="20"/>
        <v>4.8188947368421053E-2</v>
      </c>
      <c r="I68" s="218"/>
      <c r="J68" s="175"/>
    </row>
    <row r="69" spans="1:10" s="176" customFormat="1" x14ac:dyDescent="0.25">
      <c r="A69" s="188"/>
      <c r="B69" s="178" t="s">
        <v>506</v>
      </c>
      <c r="C69" s="183" t="s">
        <v>297</v>
      </c>
      <c r="D69" s="192">
        <v>285000000</v>
      </c>
      <c r="E69" s="192">
        <f>'Realisasi Februari'!G69</f>
        <v>10515050</v>
      </c>
      <c r="F69" s="192">
        <v>3218800</v>
      </c>
      <c r="G69" s="192">
        <f>E69+F69</f>
        <v>13733850</v>
      </c>
      <c r="H69" s="24">
        <f t="shared" si="20"/>
        <v>4.8188947368421053E-2</v>
      </c>
      <c r="I69" s="218"/>
      <c r="J69" s="175"/>
    </row>
    <row r="70" spans="1:10" s="176" customFormat="1" x14ac:dyDescent="0.25">
      <c r="A70" s="169" t="s">
        <v>415</v>
      </c>
      <c r="B70" s="170" t="s">
        <v>298</v>
      </c>
      <c r="C70" s="185" t="s">
        <v>60</v>
      </c>
      <c r="D70" s="191">
        <f>SUM(D71)</f>
        <v>2000000</v>
      </c>
      <c r="E70" s="191"/>
      <c r="F70" s="191">
        <f t="shared" ref="F70:G70" si="28">SUM(F71)</f>
        <v>0</v>
      </c>
      <c r="G70" s="191">
        <f t="shared" si="28"/>
        <v>0</v>
      </c>
      <c r="H70" s="236">
        <f t="shared" si="20"/>
        <v>0</v>
      </c>
      <c r="I70" s="207" t="s">
        <v>61</v>
      </c>
      <c r="J70" s="175"/>
    </row>
    <row r="71" spans="1:10" s="187" customFormat="1" x14ac:dyDescent="0.25">
      <c r="A71" s="169"/>
      <c r="B71" s="170" t="s">
        <v>299</v>
      </c>
      <c r="C71" s="185" t="s">
        <v>300</v>
      </c>
      <c r="D71" s="191">
        <f>D72</f>
        <v>2000000</v>
      </c>
      <c r="E71" s="191"/>
      <c r="F71" s="191">
        <f t="shared" ref="F71:G71" si="29">F72</f>
        <v>0</v>
      </c>
      <c r="G71" s="191">
        <f t="shared" si="29"/>
        <v>0</v>
      </c>
      <c r="H71" s="236">
        <f t="shared" si="20"/>
        <v>0</v>
      </c>
      <c r="I71" s="263"/>
      <c r="J71" s="186"/>
    </row>
    <row r="72" spans="1:10" s="176" customFormat="1" x14ac:dyDescent="0.25">
      <c r="A72" s="188"/>
      <c r="B72" s="178" t="s">
        <v>507</v>
      </c>
      <c r="C72" s="183" t="s">
        <v>300</v>
      </c>
      <c r="D72" s="192">
        <v>2000000</v>
      </c>
      <c r="E72" s="192">
        <f>'Realisasi Februari'!G72</f>
        <v>0</v>
      </c>
      <c r="F72" s="192">
        <v>0</v>
      </c>
      <c r="G72" s="192">
        <f>E72+F72</f>
        <v>0</v>
      </c>
      <c r="H72" s="24">
        <f t="shared" si="20"/>
        <v>0</v>
      </c>
      <c r="I72" s="219"/>
      <c r="J72" s="175"/>
    </row>
    <row r="73" spans="1:10" s="176" customFormat="1" x14ac:dyDescent="0.25">
      <c r="A73" s="188"/>
      <c r="B73" s="178"/>
      <c r="C73" s="183"/>
      <c r="D73" s="192"/>
      <c r="E73" s="192"/>
      <c r="F73" s="192"/>
      <c r="G73" s="191"/>
      <c r="H73" s="236"/>
      <c r="I73" s="220"/>
      <c r="J73" s="175"/>
    </row>
    <row r="74" spans="1:10" s="176" customFormat="1" x14ac:dyDescent="0.25">
      <c r="A74" s="168" t="s">
        <v>62</v>
      </c>
      <c r="B74" s="22" t="s">
        <v>301</v>
      </c>
      <c r="C74" s="185" t="s">
        <v>63</v>
      </c>
      <c r="D74" s="191">
        <f t="shared" ref="D74:G76" si="30">D75</f>
        <v>25000000</v>
      </c>
      <c r="E74" s="191">
        <f t="shared" si="30"/>
        <v>5325000</v>
      </c>
      <c r="F74" s="191">
        <f t="shared" si="30"/>
        <v>2255000</v>
      </c>
      <c r="G74" s="191">
        <f t="shared" si="30"/>
        <v>7580000</v>
      </c>
      <c r="H74" s="236">
        <f>G74/D74</f>
        <v>0.30320000000000003</v>
      </c>
      <c r="I74" s="209"/>
      <c r="J74" s="175"/>
    </row>
    <row r="75" spans="1:10" s="187" customFormat="1" x14ac:dyDescent="0.25">
      <c r="A75" s="169"/>
      <c r="B75" s="170" t="s">
        <v>285</v>
      </c>
      <c r="C75" s="185" t="s">
        <v>444</v>
      </c>
      <c r="D75" s="191">
        <f t="shared" si="30"/>
        <v>25000000</v>
      </c>
      <c r="E75" s="191">
        <f t="shared" si="30"/>
        <v>5325000</v>
      </c>
      <c r="F75" s="191">
        <f t="shared" si="30"/>
        <v>2255000</v>
      </c>
      <c r="G75" s="191">
        <f t="shared" si="30"/>
        <v>7580000</v>
      </c>
      <c r="H75" s="236">
        <f>G75/D75</f>
        <v>0.30320000000000003</v>
      </c>
      <c r="I75" s="216"/>
      <c r="J75" s="186"/>
    </row>
    <row r="76" spans="1:10" s="187" customFormat="1" x14ac:dyDescent="0.25">
      <c r="A76" s="169"/>
      <c r="B76" s="170" t="s">
        <v>302</v>
      </c>
      <c r="C76" s="185" t="s">
        <v>64</v>
      </c>
      <c r="D76" s="191">
        <f>D77</f>
        <v>25000000</v>
      </c>
      <c r="E76" s="191">
        <f t="shared" si="30"/>
        <v>5325000</v>
      </c>
      <c r="F76" s="191">
        <f t="shared" si="30"/>
        <v>2255000</v>
      </c>
      <c r="G76" s="191">
        <f t="shared" si="30"/>
        <v>7580000</v>
      </c>
      <c r="H76" s="236">
        <f>G76/D76</f>
        <v>0.30320000000000003</v>
      </c>
      <c r="I76" s="216"/>
      <c r="J76" s="186"/>
    </row>
    <row r="77" spans="1:10" s="176" customFormat="1" x14ac:dyDescent="0.25">
      <c r="A77" s="27"/>
      <c r="B77" s="178" t="s">
        <v>508</v>
      </c>
      <c r="C77" s="28" t="s">
        <v>509</v>
      </c>
      <c r="D77" s="192">
        <v>25000000</v>
      </c>
      <c r="E77" s="192">
        <f>'Realisasi Februari'!G77</f>
        <v>5325000</v>
      </c>
      <c r="F77" s="192">
        <v>2255000</v>
      </c>
      <c r="G77" s="192">
        <f>E77+F77</f>
        <v>7580000</v>
      </c>
      <c r="H77" s="24">
        <f>G77/D77</f>
        <v>0.30320000000000003</v>
      </c>
      <c r="I77" s="207" t="s">
        <v>65</v>
      </c>
      <c r="J77" s="175"/>
    </row>
    <row r="78" spans="1:10" s="176" customFormat="1" x14ac:dyDescent="0.25">
      <c r="A78" s="27"/>
      <c r="B78" s="178"/>
      <c r="C78" s="171"/>
      <c r="D78" s="192"/>
      <c r="E78" s="192"/>
      <c r="F78" s="192"/>
      <c r="G78" s="191"/>
      <c r="H78" s="236"/>
      <c r="I78" s="207"/>
      <c r="J78" s="175"/>
    </row>
    <row r="79" spans="1:10" s="176" customFormat="1" x14ac:dyDescent="0.25">
      <c r="A79" s="168" t="s">
        <v>66</v>
      </c>
      <c r="B79" s="22" t="s">
        <v>303</v>
      </c>
      <c r="C79" s="185" t="s">
        <v>67</v>
      </c>
      <c r="D79" s="196">
        <f>SUM(D80)</f>
        <v>15000000000</v>
      </c>
      <c r="E79" s="196"/>
      <c r="F79" s="196">
        <f t="shared" ref="F79:G79" si="31">SUM(F80)</f>
        <v>0</v>
      </c>
      <c r="G79" s="196">
        <f t="shared" si="31"/>
        <v>0</v>
      </c>
      <c r="H79" s="236">
        <f t="shared" ref="H79:H84" si="32">G79/D79</f>
        <v>0</v>
      </c>
      <c r="I79" s="209"/>
      <c r="J79" s="175"/>
    </row>
    <row r="80" spans="1:10" s="176" customFormat="1" x14ac:dyDescent="0.25">
      <c r="A80" s="27"/>
      <c r="B80" s="170" t="s">
        <v>298</v>
      </c>
      <c r="C80" s="185" t="s">
        <v>60</v>
      </c>
      <c r="D80" s="191">
        <f>D81+D83</f>
        <v>15000000000</v>
      </c>
      <c r="E80" s="191"/>
      <c r="F80" s="191">
        <f t="shared" ref="F80:G80" si="33">F81+F83</f>
        <v>0</v>
      </c>
      <c r="G80" s="191">
        <f t="shared" si="33"/>
        <v>0</v>
      </c>
      <c r="H80" s="236">
        <f t="shared" si="32"/>
        <v>0</v>
      </c>
      <c r="I80" s="207"/>
      <c r="J80" s="175"/>
    </row>
    <row r="81" spans="1:10" s="187" customFormat="1" x14ac:dyDescent="0.25">
      <c r="A81" s="264"/>
      <c r="B81" s="170" t="s">
        <v>304</v>
      </c>
      <c r="C81" s="185" t="s">
        <v>68</v>
      </c>
      <c r="D81" s="191">
        <f>D82</f>
        <v>14990050000</v>
      </c>
      <c r="E81" s="191"/>
      <c r="F81" s="191">
        <f t="shared" ref="F81:G81" si="34">F82</f>
        <v>0</v>
      </c>
      <c r="G81" s="191">
        <f t="shared" si="34"/>
        <v>0</v>
      </c>
      <c r="H81" s="236">
        <f t="shared" si="32"/>
        <v>0</v>
      </c>
      <c r="I81" s="216" t="s">
        <v>69</v>
      </c>
      <c r="J81" s="186"/>
    </row>
    <row r="82" spans="1:10" s="176" customFormat="1" x14ac:dyDescent="0.25">
      <c r="A82" s="27"/>
      <c r="B82" s="178" t="s">
        <v>510</v>
      </c>
      <c r="C82" s="183" t="s">
        <v>68</v>
      </c>
      <c r="D82" s="192">
        <v>14990050000</v>
      </c>
      <c r="E82" s="192">
        <f>'Realisasi Februari'!G82</f>
        <v>0</v>
      </c>
      <c r="F82" s="192"/>
      <c r="G82" s="192">
        <f>E82+F82</f>
        <v>0</v>
      </c>
      <c r="H82" s="24">
        <f t="shared" si="32"/>
        <v>0</v>
      </c>
      <c r="I82" s="207" t="s">
        <v>69</v>
      </c>
      <c r="J82" s="175"/>
    </row>
    <row r="83" spans="1:10" s="187" customFormat="1" x14ac:dyDescent="0.25">
      <c r="A83" s="264"/>
      <c r="B83" s="170" t="s">
        <v>305</v>
      </c>
      <c r="C83" s="185" t="s">
        <v>70</v>
      </c>
      <c r="D83" s="191">
        <f>D84</f>
        <v>9950000</v>
      </c>
      <c r="E83" s="191"/>
      <c r="F83" s="191">
        <f t="shared" ref="F83:G83" si="35">F84</f>
        <v>0</v>
      </c>
      <c r="G83" s="191">
        <f t="shared" si="35"/>
        <v>0</v>
      </c>
      <c r="H83" s="236">
        <f t="shared" si="32"/>
        <v>0</v>
      </c>
      <c r="I83" s="216" t="s">
        <v>71</v>
      </c>
      <c r="J83" s="186"/>
    </row>
    <row r="84" spans="1:10" s="176" customFormat="1" x14ac:dyDescent="0.25">
      <c r="A84" s="27"/>
      <c r="B84" s="178" t="s">
        <v>511</v>
      </c>
      <c r="C84" s="183" t="s">
        <v>70</v>
      </c>
      <c r="D84" s="192">
        <v>9950000</v>
      </c>
      <c r="E84" s="192">
        <f>'Realisasi Februari'!G84</f>
        <v>0</v>
      </c>
      <c r="F84" s="192"/>
      <c r="G84" s="192">
        <f>E84+F84</f>
        <v>0</v>
      </c>
      <c r="H84" s="24">
        <f t="shared" si="32"/>
        <v>0</v>
      </c>
      <c r="I84" s="207" t="s">
        <v>71</v>
      </c>
      <c r="J84" s="175"/>
    </row>
    <row r="85" spans="1:10" s="176" customFormat="1" x14ac:dyDescent="0.25">
      <c r="A85" s="27"/>
      <c r="B85" s="178"/>
      <c r="C85" s="183"/>
      <c r="D85" s="192"/>
      <c r="E85" s="192"/>
      <c r="F85" s="192"/>
      <c r="G85" s="191"/>
      <c r="H85" s="236"/>
      <c r="I85" s="207"/>
      <c r="J85" s="175"/>
    </row>
    <row r="86" spans="1:10" s="176" customFormat="1" ht="24" customHeight="1" x14ac:dyDescent="0.25">
      <c r="A86" s="29" t="s">
        <v>73</v>
      </c>
      <c r="B86" s="22" t="s">
        <v>307</v>
      </c>
      <c r="C86" s="185" t="s">
        <v>82</v>
      </c>
      <c r="D86" s="196">
        <f>D87</f>
        <v>25440000</v>
      </c>
      <c r="E86" s="196">
        <f t="shared" ref="E86:F86" si="36">E87</f>
        <v>2740000</v>
      </c>
      <c r="F86" s="196">
        <f t="shared" si="36"/>
        <v>1660000</v>
      </c>
      <c r="G86" s="196">
        <f t="shared" ref="G86" si="37">G87</f>
        <v>4400000</v>
      </c>
      <c r="H86" s="236">
        <f>G86/D86</f>
        <v>0.17295597484276728</v>
      </c>
      <c r="I86" s="209"/>
      <c r="J86" s="175"/>
    </row>
    <row r="87" spans="1:10" s="187" customFormat="1" x14ac:dyDescent="0.25">
      <c r="A87" s="169"/>
      <c r="B87" s="170" t="s">
        <v>285</v>
      </c>
      <c r="C87" s="185" t="s">
        <v>444</v>
      </c>
      <c r="D87" s="191">
        <f>D89</f>
        <v>25440000</v>
      </c>
      <c r="E87" s="191">
        <f t="shared" ref="E87:F87" si="38">E89</f>
        <v>2740000</v>
      </c>
      <c r="F87" s="191">
        <f t="shared" si="38"/>
        <v>1660000</v>
      </c>
      <c r="G87" s="191">
        <f>G89</f>
        <v>4400000</v>
      </c>
      <c r="H87" s="236">
        <f>G87/D87</f>
        <v>0.17295597484276728</v>
      </c>
      <c r="I87" s="207" t="s">
        <v>83</v>
      </c>
      <c r="J87" s="186"/>
    </row>
    <row r="88" spans="1:10" s="187" customFormat="1" x14ac:dyDescent="0.25">
      <c r="A88" s="169"/>
      <c r="B88" s="170" t="s">
        <v>308</v>
      </c>
      <c r="C88" s="172" t="s">
        <v>309</v>
      </c>
      <c r="D88" s="191">
        <f>D89</f>
        <v>25440000</v>
      </c>
      <c r="E88" s="191">
        <f t="shared" ref="E88:F88" si="39">E89</f>
        <v>2740000</v>
      </c>
      <c r="F88" s="191">
        <f t="shared" si="39"/>
        <v>1660000</v>
      </c>
      <c r="G88" s="191">
        <f t="shared" ref="G88" si="40">G89</f>
        <v>4400000</v>
      </c>
      <c r="H88" s="236">
        <f>G88/D88</f>
        <v>0.17295597484276728</v>
      </c>
      <c r="I88" s="216"/>
      <c r="J88" s="186"/>
    </row>
    <row r="89" spans="1:10" s="176" customFormat="1" x14ac:dyDescent="0.25">
      <c r="A89" s="188"/>
      <c r="B89" s="178" t="s">
        <v>512</v>
      </c>
      <c r="C89" s="171" t="s">
        <v>309</v>
      </c>
      <c r="D89" s="192">
        <v>25440000</v>
      </c>
      <c r="E89" s="192">
        <f>'Realisasi Februari'!G89</f>
        <v>2740000</v>
      </c>
      <c r="F89" s="192">
        <v>1660000</v>
      </c>
      <c r="G89" s="192">
        <f>E89+F89</f>
        <v>4400000</v>
      </c>
      <c r="H89" s="24">
        <f>G89/D89</f>
        <v>0.17295597484276728</v>
      </c>
      <c r="I89" s="207"/>
      <c r="J89" s="175"/>
    </row>
    <row r="90" spans="1:10" s="176" customFormat="1" x14ac:dyDescent="0.25">
      <c r="A90" s="169"/>
      <c r="B90" s="22"/>
      <c r="C90" s="25"/>
      <c r="D90" s="192"/>
      <c r="E90" s="192"/>
      <c r="F90" s="192"/>
      <c r="G90" s="191"/>
      <c r="H90" s="236"/>
      <c r="I90" s="221"/>
      <c r="J90" s="175"/>
    </row>
    <row r="91" spans="1:10" s="176" customFormat="1" ht="24.75" customHeight="1" x14ac:dyDescent="0.25">
      <c r="A91" s="29" t="s">
        <v>74</v>
      </c>
      <c r="B91" s="22" t="s">
        <v>310</v>
      </c>
      <c r="C91" s="185" t="s">
        <v>84</v>
      </c>
      <c r="D91" s="196">
        <f>D92</f>
        <v>1000000000</v>
      </c>
      <c r="E91" s="196"/>
      <c r="F91" s="196">
        <f t="shared" ref="F91:G93" si="41">F92</f>
        <v>0</v>
      </c>
      <c r="G91" s="196">
        <f t="shared" si="41"/>
        <v>0</v>
      </c>
      <c r="H91" s="236">
        <f>G91/D91</f>
        <v>0</v>
      </c>
      <c r="I91" s="207"/>
      <c r="J91" s="175"/>
    </row>
    <row r="92" spans="1:10" s="187" customFormat="1" x14ac:dyDescent="0.25">
      <c r="A92" s="169"/>
      <c r="B92" s="170" t="s">
        <v>288</v>
      </c>
      <c r="C92" s="185" t="s">
        <v>55</v>
      </c>
      <c r="D92" s="191">
        <f>D93</f>
        <v>1000000000</v>
      </c>
      <c r="E92" s="191"/>
      <c r="F92" s="191">
        <f t="shared" si="41"/>
        <v>0</v>
      </c>
      <c r="G92" s="191">
        <f t="shared" si="41"/>
        <v>0</v>
      </c>
      <c r="H92" s="236">
        <f>G92/D92</f>
        <v>0</v>
      </c>
      <c r="I92" s="216" t="s">
        <v>85</v>
      </c>
      <c r="J92" s="186"/>
    </row>
    <row r="93" spans="1:10" s="187" customFormat="1" x14ac:dyDescent="0.25">
      <c r="A93" s="169"/>
      <c r="B93" s="170" t="s">
        <v>311</v>
      </c>
      <c r="C93" s="185" t="s">
        <v>312</v>
      </c>
      <c r="D93" s="191">
        <f>D94</f>
        <v>1000000000</v>
      </c>
      <c r="E93" s="191"/>
      <c r="F93" s="191">
        <f t="shared" si="41"/>
        <v>0</v>
      </c>
      <c r="G93" s="191">
        <f t="shared" si="41"/>
        <v>0</v>
      </c>
      <c r="H93" s="236">
        <f>G93/D93</f>
        <v>0</v>
      </c>
      <c r="I93" s="216"/>
      <c r="J93" s="186"/>
    </row>
    <row r="94" spans="1:10" s="176" customFormat="1" x14ac:dyDescent="0.25">
      <c r="A94" s="188"/>
      <c r="B94" s="178" t="s">
        <v>513</v>
      </c>
      <c r="C94" s="183" t="s">
        <v>312</v>
      </c>
      <c r="D94" s="192">
        <v>1000000000</v>
      </c>
      <c r="E94" s="192">
        <f>'Realisasi Februari'!G94</f>
        <v>0</v>
      </c>
      <c r="F94" s="192"/>
      <c r="G94" s="192">
        <f>E94+F94</f>
        <v>0</v>
      </c>
      <c r="H94" s="24">
        <f>G94/D94</f>
        <v>0</v>
      </c>
      <c r="I94" s="207"/>
      <c r="J94" s="175"/>
    </row>
    <row r="95" spans="1:10" s="176" customFormat="1" x14ac:dyDescent="0.25">
      <c r="A95" s="188"/>
      <c r="B95" s="178"/>
      <c r="C95" s="183"/>
      <c r="D95" s="192"/>
      <c r="E95" s="192"/>
      <c r="F95" s="192"/>
      <c r="G95" s="191"/>
      <c r="H95" s="236"/>
      <c r="I95" s="207"/>
      <c r="J95" s="175"/>
    </row>
    <row r="96" spans="1:10" s="176" customFormat="1" ht="41.25" customHeight="1" x14ac:dyDescent="0.25">
      <c r="A96" s="168" t="s">
        <v>86</v>
      </c>
      <c r="B96" s="189" t="s">
        <v>313</v>
      </c>
      <c r="C96" s="30" t="s">
        <v>87</v>
      </c>
      <c r="D96" s="196">
        <f>SUM(D97)</f>
        <v>1663748324</v>
      </c>
      <c r="E96" s="196"/>
      <c r="F96" s="196">
        <f t="shared" ref="F96:G96" si="42">SUM(F97)</f>
        <v>0</v>
      </c>
      <c r="G96" s="196">
        <f t="shared" si="42"/>
        <v>0</v>
      </c>
      <c r="H96" s="236">
        <f>G96/D96</f>
        <v>0</v>
      </c>
      <c r="I96" s="209"/>
      <c r="J96" s="175"/>
    </row>
    <row r="97" spans="1:11" s="176" customFormat="1" ht="30" x14ac:dyDescent="0.25">
      <c r="A97" s="188"/>
      <c r="B97" s="189" t="s">
        <v>314</v>
      </c>
      <c r="C97" s="30" t="s">
        <v>88</v>
      </c>
      <c r="D97" s="191">
        <f>SUM(D98:D100)</f>
        <v>1663748324</v>
      </c>
      <c r="E97" s="191"/>
      <c r="F97" s="191">
        <f t="shared" ref="F97:G97" si="43">SUM(F98:F100)</f>
        <v>0</v>
      </c>
      <c r="G97" s="191">
        <f t="shared" si="43"/>
        <v>0</v>
      </c>
      <c r="H97" s="236">
        <f>G97/D97</f>
        <v>0</v>
      </c>
      <c r="I97" s="209"/>
      <c r="J97" s="175"/>
    </row>
    <row r="98" spans="1:11" s="176" customFormat="1" x14ac:dyDescent="0.25">
      <c r="A98" s="184" t="s">
        <v>89</v>
      </c>
      <c r="B98" s="190" t="s">
        <v>314</v>
      </c>
      <c r="C98" s="183" t="s">
        <v>90</v>
      </c>
      <c r="D98" s="192">
        <v>895097348</v>
      </c>
      <c r="E98" s="192">
        <f>'Realisasi Februari'!G98</f>
        <v>0</v>
      </c>
      <c r="F98" s="192"/>
      <c r="G98" s="192">
        <f>E98+F98</f>
        <v>0</v>
      </c>
      <c r="H98" s="24">
        <f>G98/D98</f>
        <v>0</v>
      </c>
      <c r="I98" s="207"/>
      <c r="J98" s="175"/>
    </row>
    <row r="99" spans="1:11" s="176" customFormat="1" x14ac:dyDescent="0.25">
      <c r="A99" s="184" t="s">
        <v>91</v>
      </c>
      <c r="B99" s="190" t="s">
        <v>314</v>
      </c>
      <c r="C99" s="183" t="s">
        <v>92</v>
      </c>
      <c r="D99" s="192">
        <v>455948308</v>
      </c>
      <c r="E99" s="192">
        <f>'Realisasi Februari'!G99</f>
        <v>0</v>
      </c>
      <c r="F99" s="192"/>
      <c r="G99" s="192">
        <f t="shared" ref="G99:G100" si="44">E99+F99</f>
        <v>0</v>
      </c>
      <c r="H99" s="24">
        <f>G99/D99</f>
        <v>0</v>
      </c>
      <c r="I99" s="207" t="s">
        <v>93</v>
      </c>
      <c r="J99" s="175"/>
    </row>
    <row r="100" spans="1:11" s="176" customFormat="1" x14ac:dyDescent="0.25">
      <c r="A100" s="184" t="s">
        <v>72</v>
      </c>
      <c r="B100" s="190" t="s">
        <v>314</v>
      </c>
      <c r="C100" s="183" t="s">
        <v>94</v>
      </c>
      <c r="D100" s="192">
        <v>312702668</v>
      </c>
      <c r="E100" s="192">
        <f>'Realisasi Februari'!G100</f>
        <v>0</v>
      </c>
      <c r="F100" s="192"/>
      <c r="G100" s="192">
        <f t="shared" si="44"/>
        <v>0</v>
      </c>
      <c r="H100" s="24">
        <f>G100/D100</f>
        <v>0</v>
      </c>
      <c r="I100" s="207"/>
      <c r="J100" s="175"/>
    </row>
    <row r="101" spans="1:11" s="176" customFormat="1" x14ac:dyDescent="0.25">
      <c r="A101" s="188"/>
      <c r="B101" s="178"/>
      <c r="C101" s="183"/>
      <c r="D101" s="192"/>
      <c r="E101" s="192"/>
      <c r="F101" s="192"/>
      <c r="G101" s="191"/>
      <c r="H101" s="236"/>
      <c r="I101" s="207"/>
      <c r="J101" s="175"/>
    </row>
    <row r="102" spans="1:11" s="176" customFormat="1" ht="21" customHeight="1" x14ac:dyDescent="0.25">
      <c r="A102" s="169" t="s">
        <v>95</v>
      </c>
      <c r="B102" s="189" t="s">
        <v>315</v>
      </c>
      <c r="C102" s="185" t="s">
        <v>96</v>
      </c>
      <c r="D102" s="191">
        <f>SUM(D104+D115+D119+D123+D135+D137+D150+D152+D159+D199+D213+D219+D109+D112+D131)</f>
        <v>146329185066</v>
      </c>
      <c r="E102" s="191">
        <f>SUM(E104+E115+E119+E123+E135+E137+E150+E152+E159+E199+E213+E219+E109+E112+E131)</f>
        <v>12177766463.02</v>
      </c>
      <c r="F102" s="191">
        <f>SUM(F104+F115+F119+F123+F135+F137+F150+F152+F159+F199+F213+F219+F109+F112+F131)</f>
        <v>11128837007.740002</v>
      </c>
      <c r="G102" s="191">
        <f>SUM(G104+G115+G119+G123+G135+G137+G150+G152+G159+G199+G213+G219+G109+G112+G131)</f>
        <v>23306603470.760002</v>
      </c>
      <c r="H102" s="236">
        <f>G102/D102</f>
        <v>0.15927515389529329</v>
      </c>
      <c r="I102" s="209"/>
      <c r="J102" s="175"/>
      <c r="K102" s="270"/>
    </row>
    <row r="103" spans="1:11" s="176" customFormat="1" x14ac:dyDescent="0.25">
      <c r="A103" s="169"/>
      <c r="B103" s="31"/>
      <c r="C103" s="32"/>
      <c r="D103" s="192"/>
      <c r="E103" s="192"/>
      <c r="F103" s="192"/>
      <c r="G103" s="191"/>
      <c r="H103" s="236"/>
      <c r="I103" s="209"/>
      <c r="J103" s="175"/>
    </row>
    <row r="104" spans="1:11" s="176" customFormat="1" x14ac:dyDescent="0.25">
      <c r="A104" s="168" t="s">
        <v>19</v>
      </c>
      <c r="B104" s="189" t="s">
        <v>587</v>
      </c>
      <c r="C104" s="180" t="s">
        <v>589</v>
      </c>
      <c r="D104" s="191">
        <f>D106</f>
        <v>3029424600</v>
      </c>
      <c r="E104" s="191"/>
      <c r="F104" s="191">
        <f t="shared" ref="F104:G104" si="45">F106</f>
        <v>0</v>
      </c>
      <c r="G104" s="191">
        <f t="shared" si="45"/>
        <v>0</v>
      </c>
      <c r="H104" s="236">
        <f>G104/D104</f>
        <v>0</v>
      </c>
      <c r="I104" s="209"/>
      <c r="J104" s="175"/>
    </row>
    <row r="105" spans="1:11" s="176" customFormat="1" x14ac:dyDescent="0.25">
      <c r="A105" s="168"/>
      <c r="B105" s="189" t="s">
        <v>588</v>
      </c>
      <c r="C105" s="180" t="s">
        <v>589</v>
      </c>
      <c r="D105" s="191"/>
      <c r="E105" s="191"/>
      <c r="F105" s="192"/>
      <c r="G105" s="191"/>
      <c r="H105" s="236"/>
      <c r="I105" s="209"/>
      <c r="J105" s="175"/>
    </row>
    <row r="106" spans="1:11" s="176" customFormat="1" x14ac:dyDescent="0.25">
      <c r="A106" s="168"/>
      <c r="B106" s="189" t="s">
        <v>584</v>
      </c>
      <c r="C106" s="180" t="s">
        <v>585</v>
      </c>
      <c r="D106" s="191">
        <f>D107</f>
        <v>3029424600</v>
      </c>
      <c r="E106" s="191"/>
      <c r="F106" s="191">
        <f t="shared" ref="F106:G106" si="46">F107</f>
        <v>0</v>
      </c>
      <c r="G106" s="191">
        <f t="shared" si="46"/>
        <v>0</v>
      </c>
      <c r="H106" s="236">
        <f>G106/D106</f>
        <v>0</v>
      </c>
      <c r="I106" s="209"/>
      <c r="J106" s="175"/>
    </row>
    <row r="107" spans="1:11" s="176" customFormat="1" x14ac:dyDescent="0.25">
      <c r="A107" s="168"/>
      <c r="B107" s="190"/>
      <c r="C107" s="33" t="s">
        <v>586</v>
      </c>
      <c r="D107" s="192">
        <v>3029424600</v>
      </c>
      <c r="E107" s="192">
        <f>'Realisasi Februari'!G107</f>
        <v>0</v>
      </c>
      <c r="F107" s="192"/>
      <c r="G107" s="192">
        <f>E107+F107</f>
        <v>0</v>
      </c>
      <c r="H107" s="24">
        <f>G107/D107</f>
        <v>0</v>
      </c>
      <c r="I107" s="209"/>
      <c r="J107" s="175"/>
    </row>
    <row r="108" spans="1:11" s="176" customFormat="1" x14ac:dyDescent="0.25">
      <c r="A108" s="169"/>
      <c r="B108" s="31"/>
      <c r="C108" s="32"/>
      <c r="D108" s="192"/>
      <c r="E108" s="192"/>
      <c r="F108" s="192"/>
      <c r="G108" s="191"/>
      <c r="H108" s="236"/>
      <c r="I108" s="209"/>
      <c r="J108" s="175"/>
    </row>
    <row r="109" spans="1:11" s="176" customFormat="1" x14ac:dyDescent="0.25">
      <c r="A109" s="168"/>
      <c r="B109" s="190" t="s">
        <v>590</v>
      </c>
      <c r="C109" s="172" t="s">
        <v>581</v>
      </c>
      <c r="D109" s="191">
        <f>SUM(D110)</f>
        <v>0</v>
      </c>
      <c r="E109" s="191"/>
      <c r="F109" s="191">
        <f t="shared" ref="F109:G109" si="47">SUM(F110)</f>
        <v>0</v>
      </c>
      <c r="G109" s="191">
        <f t="shared" si="47"/>
        <v>0</v>
      </c>
      <c r="H109" s="236"/>
      <c r="I109" s="207"/>
      <c r="J109" s="175"/>
    </row>
    <row r="110" spans="1:11" s="176" customFormat="1" x14ac:dyDescent="0.25">
      <c r="A110" s="168"/>
      <c r="B110" s="189"/>
      <c r="C110" s="193" t="s">
        <v>622</v>
      </c>
      <c r="D110" s="192">
        <v>0</v>
      </c>
      <c r="E110" s="192">
        <f>'Realisasi Februari'!G110</f>
        <v>0</v>
      </c>
      <c r="F110" s="192">
        <v>0</v>
      </c>
      <c r="G110" s="192">
        <f>E110+F110</f>
        <v>0</v>
      </c>
      <c r="H110" s="236"/>
      <c r="I110" s="207"/>
      <c r="J110" s="175"/>
    </row>
    <row r="111" spans="1:11" s="176" customFormat="1" x14ac:dyDescent="0.25">
      <c r="A111" s="168"/>
      <c r="B111" s="189"/>
      <c r="C111" s="193"/>
      <c r="D111" s="192"/>
      <c r="E111" s="192"/>
      <c r="F111" s="192"/>
      <c r="G111" s="192"/>
      <c r="H111" s="236"/>
      <c r="I111" s="207"/>
      <c r="J111" s="175"/>
    </row>
    <row r="112" spans="1:11" s="176" customFormat="1" x14ac:dyDescent="0.25">
      <c r="A112" s="169"/>
      <c r="B112" s="190" t="s">
        <v>318</v>
      </c>
      <c r="C112" s="172" t="s">
        <v>319</v>
      </c>
      <c r="D112" s="191">
        <f>SUM(D113:D113)</f>
        <v>186000000</v>
      </c>
      <c r="E112" s="191">
        <f>SUM(E113:E113)</f>
        <v>184046000</v>
      </c>
      <c r="F112" s="191">
        <f>SUM(F113:F113)</f>
        <v>309650000</v>
      </c>
      <c r="G112" s="191">
        <f>SUM(G113:G113)</f>
        <v>493696000</v>
      </c>
      <c r="H112" s="236">
        <f>G112/D112</f>
        <v>2.654279569892473</v>
      </c>
      <c r="I112" s="209"/>
      <c r="J112" s="175"/>
    </row>
    <row r="113" spans="1:11" s="176" customFormat="1" x14ac:dyDescent="0.25">
      <c r="A113" s="169"/>
      <c r="B113" s="190"/>
      <c r="C113" s="193" t="s">
        <v>670</v>
      </c>
      <c r="D113" s="192">
        <v>186000000</v>
      </c>
      <c r="E113" s="192">
        <f>'Realisasi Februari'!G113</f>
        <v>184046000</v>
      </c>
      <c r="F113" s="192">
        <f>306650000+3000000</f>
        <v>309650000</v>
      </c>
      <c r="G113" s="192">
        <f t="shared" ref="G113" si="48">E113+F113</f>
        <v>493696000</v>
      </c>
      <c r="H113" s="24">
        <f t="shared" ref="H113" si="49">G113/D113</f>
        <v>2.654279569892473</v>
      </c>
      <c r="I113" s="209"/>
      <c r="J113" s="175"/>
    </row>
    <row r="114" spans="1:11" s="176" customFormat="1" x14ac:dyDescent="0.25">
      <c r="A114" s="169"/>
      <c r="B114" s="190"/>
      <c r="C114" s="193"/>
      <c r="D114" s="192"/>
      <c r="E114" s="192"/>
      <c r="F114" s="192"/>
      <c r="G114" s="191"/>
      <c r="H114" s="236"/>
      <c r="I114" s="209"/>
      <c r="J114" s="175"/>
    </row>
    <row r="115" spans="1:11" s="176" customFormat="1" x14ac:dyDescent="0.25">
      <c r="A115" s="168" t="s">
        <v>46</v>
      </c>
      <c r="B115" s="189" t="s">
        <v>342</v>
      </c>
      <c r="C115" s="185" t="s">
        <v>343</v>
      </c>
      <c r="D115" s="191">
        <f>D116</f>
        <v>1000000000</v>
      </c>
      <c r="E115" s="191"/>
      <c r="F115" s="191">
        <f t="shared" ref="F115:G116" si="50">F116</f>
        <v>0</v>
      </c>
      <c r="G115" s="191">
        <f t="shared" si="50"/>
        <v>0</v>
      </c>
      <c r="H115" s="236">
        <f>G115/D115</f>
        <v>0</v>
      </c>
      <c r="I115" s="209"/>
      <c r="J115" s="175"/>
    </row>
    <row r="116" spans="1:11" s="187" customFormat="1" x14ac:dyDescent="0.25">
      <c r="A116" s="169"/>
      <c r="B116" s="189" t="s">
        <v>344</v>
      </c>
      <c r="C116" s="185" t="s">
        <v>349</v>
      </c>
      <c r="D116" s="191">
        <f>D117</f>
        <v>1000000000</v>
      </c>
      <c r="E116" s="191"/>
      <c r="F116" s="191">
        <f t="shared" si="50"/>
        <v>0</v>
      </c>
      <c r="G116" s="191">
        <f t="shared" si="50"/>
        <v>0</v>
      </c>
      <c r="H116" s="236">
        <f>G116/D116</f>
        <v>0</v>
      </c>
      <c r="I116" s="210"/>
      <c r="J116" s="186"/>
    </row>
    <row r="117" spans="1:11" s="176" customFormat="1" x14ac:dyDescent="0.25">
      <c r="A117" s="169"/>
      <c r="B117" s="190"/>
      <c r="C117" s="171" t="s">
        <v>162</v>
      </c>
      <c r="D117" s="192">
        <v>1000000000</v>
      </c>
      <c r="E117" s="192">
        <f>'Realisasi Februari'!G117</f>
        <v>0</v>
      </c>
      <c r="F117" s="192"/>
      <c r="G117" s="192">
        <f>E117+F117</f>
        <v>0</v>
      </c>
      <c r="H117" s="24">
        <f>G117/D117</f>
        <v>0</v>
      </c>
      <c r="I117" s="209"/>
      <c r="J117" s="175"/>
    </row>
    <row r="118" spans="1:11" s="176" customFormat="1" x14ac:dyDescent="0.25">
      <c r="A118" s="169"/>
      <c r="B118" s="190"/>
      <c r="C118" s="193"/>
      <c r="D118" s="192"/>
      <c r="E118" s="192"/>
      <c r="F118" s="192"/>
      <c r="G118" s="191"/>
      <c r="H118" s="236"/>
      <c r="I118" s="209"/>
      <c r="J118" s="175"/>
    </row>
    <row r="119" spans="1:11" s="176" customFormat="1" x14ac:dyDescent="0.25">
      <c r="A119" s="168" t="s">
        <v>8</v>
      </c>
      <c r="B119" s="189" t="s">
        <v>320</v>
      </c>
      <c r="C119" s="185" t="s">
        <v>97</v>
      </c>
      <c r="D119" s="196">
        <f>SUM(D120:D121)</f>
        <v>2750000000</v>
      </c>
      <c r="E119" s="196">
        <f t="shared" ref="E119:G119" si="51">SUM(E120:E121)</f>
        <v>542243693.41999996</v>
      </c>
      <c r="F119" s="196">
        <f t="shared" si="51"/>
        <v>257604634.68000001</v>
      </c>
      <c r="G119" s="196">
        <f t="shared" si="51"/>
        <v>799848328.0999999</v>
      </c>
      <c r="H119" s="236">
        <f>G119/D119</f>
        <v>0.29085393749090904</v>
      </c>
      <c r="I119" s="207"/>
      <c r="J119" s="175"/>
    </row>
    <row r="120" spans="1:11" s="176" customFormat="1" x14ac:dyDescent="0.25">
      <c r="A120" s="188"/>
      <c r="B120" s="190" t="s">
        <v>514</v>
      </c>
      <c r="C120" s="183" t="s">
        <v>515</v>
      </c>
      <c r="D120" s="192">
        <v>2500000000</v>
      </c>
      <c r="E120" s="192">
        <f>'Realisasi Februari'!G120</f>
        <v>530728342.41999996</v>
      </c>
      <c r="F120" s="192">
        <v>250195708.68000001</v>
      </c>
      <c r="G120" s="192">
        <f>E120+F120</f>
        <v>780924051.0999999</v>
      </c>
      <c r="H120" s="24">
        <f>G120/D120</f>
        <v>0.31236962043999994</v>
      </c>
      <c r="I120" s="207"/>
      <c r="J120" s="175"/>
    </row>
    <row r="121" spans="1:11" s="176" customFormat="1" x14ac:dyDescent="0.25">
      <c r="A121" s="188"/>
      <c r="B121" s="190" t="s">
        <v>517</v>
      </c>
      <c r="C121" s="183" t="s">
        <v>516</v>
      </c>
      <c r="D121" s="192">
        <v>250000000</v>
      </c>
      <c r="E121" s="192">
        <f>'Realisasi Februari'!G121</f>
        <v>11515351</v>
      </c>
      <c r="F121" s="192">
        <v>7408926</v>
      </c>
      <c r="G121" s="192">
        <f>E121+F121</f>
        <v>18924277</v>
      </c>
      <c r="H121" s="24">
        <f>G121/D121</f>
        <v>7.5697107999999999E-2</v>
      </c>
      <c r="I121" s="207"/>
      <c r="J121" s="175"/>
    </row>
    <row r="122" spans="1:11" s="176" customFormat="1" x14ac:dyDescent="0.25">
      <c r="A122" s="188"/>
      <c r="B122" s="178"/>
      <c r="C122" s="183"/>
      <c r="D122" s="192"/>
      <c r="E122" s="192"/>
      <c r="F122" s="192"/>
      <c r="G122" s="191"/>
      <c r="H122" s="236"/>
      <c r="I122" s="207"/>
      <c r="J122" s="175"/>
    </row>
    <row r="123" spans="1:11" s="176" customFormat="1" x14ac:dyDescent="0.25">
      <c r="A123" s="168" t="s">
        <v>49</v>
      </c>
      <c r="B123" s="189" t="s">
        <v>321</v>
      </c>
      <c r="C123" s="180" t="s">
        <v>98</v>
      </c>
      <c r="D123" s="196">
        <f>D124</f>
        <v>2600000000</v>
      </c>
      <c r="E123" s="196"/>
      <c r="F123" s="196">
        <f t="shared" ref="F123:G123" si="52">F124</f>
        <v>62837505.939999998</v>
      </c>
      <c r="G123" s="196">
        <f t="shared" si="52"/>
        <v>62837505.939999998</v>
      </c>
      <c r="H123" s="236">
        <f t="shared" ref="H123:H129" si="53">G123/D123</f>
        <v>2.4168271515384615E-2</v>
      </c>
      <c r="I123" s="207"/>
      <c r="J123" s="175"/>
    </row>
    <row r="124" spans="1:11" s="176" customFormat="1" x14ac:dyDescent="0.25">
      <c r="A124" s="168"/>
      <c r="B124" s="189" t="s">
        <v>322</v>
      </c>
      <c r="C124" s="180" t="s">
        <v>323</v>
      </c>
      <c r="D124" s="196">
        <f>SUM(D126:D129)</f>
        <v>2600000000</v>
      </c>
      <c r="E124" s="196"/>
      <c r="F124" s="196">
        <f>F125</f>
        <v>62837505.939999998</v>
      </c>
      <c r="G124" s="196">
        <f>G125</f>
        <v>62837505.939999998</v>
      </c>
      <c r="H124" s="236">
        <f t="shared" si="53"/>
        <v>2.4168271515384615E-2</v>
      </c>
      <c r="I124" s="207"/>
      <c r="J124" s="175"/>
    </row>
    <row r="125" spans="1:11" s="176" customFormat="1" x14ac:dyDescent="0.25">
      <c r="A125" s="168"/>
      <c r="B125" s="189" t="s">
        <v>518</v>
      </c>
      <c r="C125" s="180" t="s">
        <v>323</v>
      </c>
      <c r="D125" s="196">
        <f>SUM(D126:D129)</f>
        <v>2600000000</v>
      </c>
      <c r="E125" s="196">
        <f t="shared" ref="E125" si="54">SUM(E126:E129)</f>
        <v>0</v>
      </c>
      <c r="F125" s="196">
        <v>62837505.939999998</v>
      </c>
      <c r="G125" s="196">
        <v>62837505.939999998</v>
      </c>
      <c r="H125" s="236">
        <f t="shared" si="53"/>
        <v>2.4168271515384615E-2</v>
      </c>
      <c r="I125" s="207"/>
      <c r="J125" s="175"/>
      <c r="K125" s="270"/>
    </row>
    <row r="126" spans="1:11" s="176" customFormat="1" x14ac:dyDescent="0.25">
      <c r="A126" s="169"/>
      <c r="B126" s="177"/>
      <c r="C126" s="193" t="s">
        <v>324</v>
      </c>
      <c r="D126" s="181">
        <v>1200000000</v>
      </c>
      <c r="E126" s="181">
        <f>'Realisasi Februari'!G126</f>
        <v>0</v>
      </c>
      <c r="F126" s="181">
        <v>24931480</v>
      </c>
      <c r="G126" s="192">
        <f>E126+F126</f>
        <v>24931480</v>
      </c>
      <c r="H126" s="24">
        <f t="shared" si="53"/>
        <v>2.0776233333333335E-2</v>
      </c>
      <c r="I126" s="207"/>
      <c r="J126" s="175"/>
    </row>
    <row r="127" spans="1:11" s="176" customFormat="1" x14ac:dyDescent="0.25">
      <c r="A127" s="169"/>
      <c r="B127" s="177"/>
      <c r="C127" s="193" t="s">
        <v>325</v>
      </c>
      <c r="D127" s="181">
        <v>600000000</v>
      </c>
      <c r="E127" s="181">
        <f>'Realisasi Februari'!G127</f>
        <v>0</v>
      </c>
      <c r="F127" s="181">
        <f>12015624.94+177.1+30230.47</f>
        <v>12046032.51</v>
      </c>
      <c r="G127" s="192">
        <f t="shared" ref="G127:G129" si="55">E127+F127</f>
        <v>12046032.51</v>
      </c>
      <c r="H127" s="24">
        <f t="shared" si="53"/>
        <v>2.007672085E-2</v>
      </c>
      <c r="I127" s="207"/>
      <c r="J127" s="175"/>
    </row>
    <row r="128" spans="1:11" s="176" customFormat="1" x14ac:dyDescent="0.25">
      <c r="A128" s="169"/>
      <c r="B128" s="178"/>
      <c r="C128" s="193" t="s">
        <v>578</v>
      </c>
      <c r="D128" s="181">
        <v>0</v>
      </c>
      <c r="E128" s="181">
        <f>'Realisasi Februari'!G128</f>
        <v>0</v>
      </c>
      <c r="F128" s="181"/>
      <c r="G128" s="192">
        <f t="shared" si="55"/>
        <v>0</v>
      </c>
      <c r="H128" s="24" t="e">
        <f t="shared" si="53"/>
        <v>#DIV/0!</v>
      </c>
      <c r="I128" s="207"/>
      <c r="J128" s="175"/>
    </row>
    <row r="129" spans="1:10" s="176" customFormat="1" x14ac:dyDescent="0.25">
      <c r="A129" s="169"/>
      <c r="B129" s="178"/>
      <c r="C129" s="193" t="s">
        <v>326</v>
      </c>
      <c r="D129" s="181">
        <v>800000000</v>
      </c>
      <c r="E129" s="181">
        <f>'Realisasi Februari'!G129</f>
        <v>0</v>
      </c>
      <c r="F129" s="181">
        <f>8630132+8630132</f>
        <v>17260264</v>
      </c>
      <c r="G129" s="192">
        <f t="shared" si="55"/>
        <v>17260264</v>
      </c>
      <c r="H129" s="24">
        <f t="shared" si="53"/>
        <v>2.157533E-2</v>
      </c>
      <c r="I129" s="207"/>
      <c r="J129" s="175"/>
    </row>
    <row r="130" spans="1:10" s="176" customFormat="1" x14ac:dyDescent="0.25">
      <c r="A130" s="169"/>
      <c r="B130" s="170"/>
      <c r="C130" s="185"/>
      <c r="D130" s="191"/>
      <c r="E130" s="191"/>
      <c r="F130" s="191"/>
      <c r="G130" s="192"/>
      <c r="H130" s="24"/>
      <c r="I130" s="207"/>
      <c r="J130" s="175"/>
    </row>
    <row r="131" spans="1:10" s="176" customFormat="1" x14ac:dyDescent="0.25">
      <c r="A131" s="168" t="s">
        <v>53</v>
      </c>
      <c r="B131" s="189" t="s">
        <v>623</v>
      </c>
      <c r="C131" s="180" t="s">
        <v>626</v>
      </c>
      <c r="D131" s="196">
        <f>D132</f>
        <v>0</v>
      </c>
      <c r="E131" s="196">
        <f>E132</f>
        <v>33076375.609999999</v>
      </c>
      <c r="F131" s="196">
        <f t="shared" ref="F131:G132" si="56">F132</f>
        <v>13244342.199999999</v>
      </c>
      <c r="G131" s="196">
        <f t="shared" si="56"/>
        <v>46320717.810000002</v>
      </c>
      <c r="H131" s="236" t="e">
        <f>G131/D131</f>
        <v>#DIV/0!</v>
      </c>
      <c r="I131" s="207"/>
      <c r="J131" s="175"/>
    </row>
    <row r="132" spans="1:10" s="176" customFormat="1" x14ac:dyDescent="0.25">
      <c r="A132" s="169"/>
      <c r="B132" s="189" t="s">
        <v>624</v>
      </c>
      <c r="C132" s="180" t="s">
        <v>626</v>
      </c>
      <c r="D132" s="196">
        <f>D133</f>
        <v>0</v>
      </c>
      <c r="E132" s="196">
        <f>E133</f>
        <v>33076375.609999999</v>
      </c>
      <c r="F132" s="196">
        <f t="shared" si="56"/>
        <v>13244342.199999999</v>
      </c>
      <c r="G132" s="196">
        <f t="shared" si="56"/>
        <v>46320717.810000002</v>
      </c>
      <c r="H132" s="236" t="e">
        <f>G132/D132</f>
        <v>#DIV/0!</v>
      </c>
      <c r="I132" s="207"/>
      <c r="J132" s="175"/>
    </row>
    <row r="133" spans="1:10" s="176" customFormat="1" x14ac:dyDescent="0.25">
      <c r="A133" s="188"/>
      <c r="B133" s="190" t="s">
        <v>625</v>
      </c>
      <c r="C133" s="33" t="s">
        <v>626</v>
      </c>
      <c r="D133" s="181">
        <v>0</v>
      </c>
      <c r="E133" s="181">
        <f>'Realisasi Februari'!G133</f>
        <v>33076375.609999999</v>
      </c>
      <c r="F133" s="181">
        <v>13244342.199999999</v>
      </c>
      <c r="G133" s="181">
        <f>E133+F133</f>
        <v>46320717.810000002</v>
      </c>
      <c r="H133" s="24" t="e">
        <f>G133/D133</f>
        <v>#DIV/0!</v>
      </c>
      <c r="I133" s="207"/>
      <c r="J133" s="175"/>
    </row>
    <row r="134" spans="1:10" s="176" customFormat="1" x14ac:dyDescent="0.25">
      <c r="A134" s="169"/>
      <c r="B134" s="177"/>
      <c r="C134" s="193"/>
      <c r="D134" s="181"/>
      <c r="E134" s="181"/>
      <c r="F134" s="181"/>
      <c r="G134" s="192"/>
      <c r="H134" s="24"/>
      <c r="I134" s="207"/>
      <c r="J134" s="175"/>
    </row>
    <row r="135" spans="1:10" s="176" customFormat="1" x14ac:dyDescent="0.25">
      <c r="A135" s="168" t="s">
        <v>62</v>
      </c>
      <c r="B135" s="179" t="s">
        <v>99</v>
      </c>
      <c r="C135" s="180" t="s">
        <v>100</v>
      </c>
      <c r="D135" s="191">
        <v>0</v>
      </c>
      <c r="E135" s="191"/>
      <c r="F135" s="191">
        <v>0</v>
      </c>
      <c r="G135" s="191">
        <f>E135+F135</f>
        <v>0</v>
      </c>
      <c r="H135" s="236"/>
      <c r="I135" s="207"/>
      <c r="J135" s="175"/>
    </row>
    <row r="136" spans="1:10" s="176" customFormat="1" x14ac:dyDescent="0.25">
      <c r="A136" s="169"/>
      <c r="B136" s="170"/>
      <c r="C136" s="185"/>
      <c r="D136" s="191"/>
      <c r="E136" s="191"/>
      <c r="F136" s="191"/>
      <c r="G136" s="191"/>
      <c r="H136" s="236"/>
      <c r="I136" s="207"/>
      <c r="J136" s="175"/>
    </row>
    <row r="137" spans="1:10" s="176" customFormat="1" x14ac:dyDescent="0.25">
      <c r="A137" s="168" t="s">
        <v>66</v>
      </c>
      <c r="B137" s="189" t="s">
        <v>328</v>
      </c>
      <c r="C137" s="180" t="s">
        <v>101</v>
      </c>
      <c r="D137" s="191">
        <f>SUM(D138:D148)</f>
        <v>0</v>
      </c>
      <c r="E137" s="191">
        <f t="shared" ref="E137:G137" si="57">SUM(E138:E148)</f>
        <v>128611816</v>
      </c>
      <c r="F137" s="191">
        <f t="shared" si="57"/>
        <v>92355467</v>
      </c>
      <c r="G137" s="191">
        <f t="shared" si="57"/>
        <v>220967283</v>
      </c>
      <c r="H137" s="236" t="e">
        <f t="shared" ref="H137:H145" si="58">G137/D137</f>
        <v>#DIV/0!</v>
      </c>
      <c r="I137" s="207"/>
      <c r="J137" s="175"/>
    </row>
    <row r="138" spans="1:10" s="176" customFormat="1" x14ac:dyDescent="0.25">
      <c r="A138" s="188"/>
      <c r="B138" s="190" t="s">
        <v>329</v>
      </c>
      <c r="C138" s="33" t="s">
        <v>102</v>
      </c>
      <c r="D138" s="192"/>
      <c r="E138" s="192">
        <f>'Realisasi Februari'!G138</f>
        <v>9777009</v>
      </c>
      <c r="F138" s="192">
        <v>174419</v>
      </c>
      <c r="G138" s="192">
        <f>E138+F138</f>
        <v>9951428</v>
      </c>
      <c r="H138" s="24" t="e">
        <f t="shared" si="58"/>
        <v>#DIV/0!</v>
      </c>
      <c r="I138" s="207"/>
      <c r="J138" s="175"/>
    </row>
    <row r="139" spans="1:10" s="176" customFormat="1" x14ac:dyDescent="0.25">
      <c r="A139" s="188"/>
      <c r="B139" s="190" t="s">
        <v>330</v>
      </c>
      <c r="C139" s="33" t="s">
        <v>103</v>
      </c>
      <c r="D139" s="192"/>
      <c r="E139" s="192">
        <f>'Realisasi Februari'!G139</f>
        <v>8741392</v>
      </c>
      <c r="F139" s="192">
        <v>2183078</v>
      </c>
      <c r="G139" s="192">
        <f t="shared" ref="G139:G147" si="59">E139+F139</f>
        <v>10924470</v>
      </c>
      <c r="H139" s="24" t="e">
        <f t="shared" si="58"/>
        <v>#DIV/0!</v>
      </c>
      <c r="I139" s="207"/>
      <c r="J139" s="175"/>
    </row>
    <row r="140" spans="1:10" s="176" customFormat="1" x14ac:dyDescent="0.25">
      <c r="A140" s="188"/>
      <c r="B140" s="190" t="s">
        <v>331</v>
      </c>
      <c r="C140" s="33" t="s">
        <v>104</v>
      </c>
      <c r="D140" s="192"/>
      <c r="E140" s="192">
        <f>'Realisasi Februari'!G140</f>
        <v>6227771</v>
      </c>
      <c r="F140" s="192">
        <v>967290</v>
      </c>
      <c r="G140" s="192">
        <f t="shared" si="59"/>
        <v>7195061</v>
      </c>
      <c r="H140" s="24" t="e">
        <f t="shared" si="58"/>
        <v>#DIV/0!</v>
      </c>
      <c r="I140" s="207"/>
      <c r="J140" s="175"/>
    </row>
    <row r="141" spans="1:10" s="176" customFormat="1" x14ac:dyDescent="0.25">
      <c r="A141" s="188"/>
      <c r="B141" s="190" t="s">
        <v>332</v>
      </c>
      <c r="C141" s="33" t="s">
        <v>105</v>
      </c>
      <c r="D141" s="192"/>
      <c r="E141" s="192">
        <f>'Realisasi Februari'!G141</f>
        <v>189713</v>
      </c>
      <c r="F141" s="192">
        <v>501348</v>
      </c>
      <c r="G141" s="192">
        <f t="shared" si="59"/>
        <v>691061</v>
      </c>
      <c r="H141" s="24" t="e">
        <f t="shared" si="58"/>
        <v>#DIV/0!</v>
      </c>
      <c r="I141" s="207"/>
      <c r="J141" s="175"/>
    </row>
    <row r="142" spans="1:10" s="176" customFormat="1" x14ac:dyDescent="0.25">
      <c r="A142" s="188"/>
      <c r="B142" s="190" t="s">
        <v>333</v>
      </c>
      <c r="C142" s="33" t="s">
        <v>106</v>
      </c>
      <c r="D142" s="192"/>
      <c r="E142" s="192">
        <f>'Realisasi Februari'!G142</f>
        <v>1038905</v>
      </c>
      <c r="F142" s="192">
        <v>4027629</v>
      </c>
      <c r="G142" s="192">
        <f t="shared" si="59"/>
        <v>5066534</v>
      </c>
      <c r="H142" s="24" t="e">
        <f t="shared" si="58"/>
        <v>#DIV/0!</v>
      </c>
      <c r="I142" s="207"/>
      <c r="J142" s="175"/>
    </row>
    <row r="143" spans="1:10" s="176" customFormat="1" x14ac:dyDescent="0.25">
      <c r="A143" s="188"/>
      <c r="B143" s="190" t="s">
        <v>334</v>
      </c>
      <c r="C143" s="33" t="s">
        <v>107</v>
      </c>
      <c r="D143" s="192"/>
      <c r="E143" s="192">
        <f>'Realisasi Februari'!G143</f>
        <v>1612668</v>
      </c>
      <c r="F143" s="192">
        <v>101688</v>
      </c>
      <c r="G143" s="192">
        <f t="shared" si="59"/>
        <v>1714356</v>
      </c>
      <c r="H143" s="24" t="e">
        <f t="shared" si="58"/>
        <v>#DIV/0!</v>
      </c>
      <c r="I143" s="207"/>
      <c r="J143" s="175"/>
    </row>
    <row r="144" spans="1:10" s="176" customFormat="1" x14ac:dyDescent="0.25">
      <c r="A144" s="188"/>
      <c r="B144" s="190" t="s">
        <v>335</v>
      </c>
      <c r="C144" s="33" t="s">
        <v>108</v>
      </c>
      <c r="D144" s="192"/>
      <c r="E144" s="192">
        <f>'Realisasi Februari'!G144</f>
        <v>11236382</v>
      </c>
      <c r="F144" s="192">
        <v>275459</v>
      </c>
      <c r="G144" s="192">
        <f t="shared" si="59"/>
        <v>11511841</v>
      </c>
      <c r="H144" s="24" t="e">
        <f t="shared" si="58"/>
        <v>#DIV/0!</v>
      </c>
      <c r="I144" s="207"/>
      <c r="J144" s="175"/>
    </row>
    <row r="145" spans="1:10" s="176" customFormat="1" x14ac:dyDescent="0.25">
      <c r="A145" s="188"/>
      <c r="B145" s="190" t="s">
        <v>336</v>
      </c>
      <c r="C145" s="33" t="s">
        <v>109</v>
      </c>
      <c r="D145" s="192"/>
      <c r="E145" s="192">
        <f>'Realisasi Februari'!G145</f>
        <v>664660</v>
      </c>
      <c r="F145" s="192">
        <v>0</v>
      </c>
      <c r="G145" s="192">
        <f t="shared" si="59"/>
        <v>664660</v>
      </c>
      <c r="H145" s="24" t="e">
        <f t="shared" si="58"/>
        <v>#DIV/0!</v>
      </c>
      <c r="I145" s="207"/>
      <c r="J145" s="175"/>
    </row>
    <row r="146" spans="1:10" s="176" customFormat="1" x14ac:dyDescent="0.25">
      <c r="A146" s="188"/>
      <c r="B146" s="190" t="s">
        <v>484</v>
      </c>
      <c r="C146" s="33" t="s">
        <v>482</v>
      </c>
      <c r="D146" s="192"/>
      <c r="E146" s="192">
        <f>'Realisasi Februari'!G146</f>
        <v>0</v>
      </c>
      <c r="F146" s="192">
        <v>0</v>
      </c>
      <c r="G146" s="192">
        <f t="shared" si="59"/>
        <v>0</v>
      </c>
      <c r="H146" s="24"/>
      <c r="I146" s="207"/>
      <c r="J146" s="175"/>
    </row>
    <row r="147" spans="1:10" s="176" customFormat="1" x14ac:dyDescent="0.25">
      <c r="A147" s="188"/>
      <c r="B147" s="190" t="s">
        <v>337</v>
      </c>
      <c r="C147" s="33" t="s">
        <v>110</v>
      </c>
      <c r="D147" s="192"/>
      <c r="E147" s="192">
        <f>'Realisasi Februari'!G147</f>
        <v>89123316</v>
      </c>
      <c r="F147" s="192">
        <v>84124556</v>
      </c>
      <c r="G147" s="192">
        <f t="shared" si="59"/>
        <v>173247872</v>
      </c>
      <c r="H147" s="24" t="e">
        <f>G147/D147</f>
        <v>#DIV/0!</v>
      </c>
      <c r="I147" s="207"/>
      <c r="J147" s="175"/>
    </row>
    <row r="148" spans="1:10" s="176" customFormat="1" x14ac:dyDescent="0.25">
      <c r="A148" s="188"/>
      <c r="B148" s="190" t="s">
        <v>485</v>
      </c>
      <c r="C148" s="33" t="s">
        <v>483</v>
      </c>
      <c r="D148" s="192">
        <v>0</v>
      </c>
      <c r="E148" s="192">
        <f>'Realisasi Februari'!G148</f>
        <v>0</v>
      </c>
      <c r="F148" s="192">
        <v>0</v>
      </c>
      <c r="G148" s="192">
        <f>F148-D148</f>
        <v>0</v>
      </c>
      <c r="H148" s="24" t="e">
        <f>G148/D148</f>
        <v>#DIV/0!</v>
      </c>
      <c r="I148" s="207"/>
      <c r="J148" s="175"/>
    </row>
    <row r="149" spans="1:10" s="176" customFormat="1" x14ac:dyDescent="0.25">
      <c r="A149" s="169"/>
      <c r="B149" s="170"/>
      <c r="C149" s="180"/>
      <c r="D149" s="191"/>
      <c r="E149" s="191"/>
      <c r="F149" s="191"/>
      <c r="G149" s="191"/>
      <c r="H149" s="24"/>
      <c r="I149" s="207"/>
      <c r="J149" s="175"/>
    </row>
    <row r="150" spans="1:10" s="176" customFormat="1" x14ac:dyDescent="0.25">
      <c r="A150" s="168" t="s">
        <v>73</v>
      </c>
      <c r="B150" s="189" t="s">
        <v>327</v>
      </c>
      <c r="C150" s="185" t="s">
        <v>111</v>
      </c>
      <c r="D150" s="191"/>
      <c r="E150" s="191"/>
      <c r="F150" s="191"/>
      <c r="G150" s="191"/>
      <c r="H150" s="236" t="e">
        <f t="shared" ref="H150" si="60">G150/D150</f>
        <v>#DIV/0!</v>
      </c>
      <c r="I150" s="207"/>
      <c r="J150" s="175"/>
    </row>
    <row r="151" spans="1:10" s="176" customFormat="1" x14ac:dyDescent="0.25">
      <c r="A151" s="169"/>
      <c r="B151" s="170"/>
      <c r="C151" s="185"/>
      <c r="D151" s="191"/>
      <c r="E151" s="191"/>
      <c r="F151" s="191"/>
      <c r="G151" s="191"/>
      <c r="H151" s="236"/>
      <c r="I151" s="207"/>
      <c r="J151" s="175"/>
    </row>
    <row r="152" spans="1:10" s="176" customFormat="1" x14ac:dyDescent="0.25">
      <c r="A152" s="168" t="s">
        <v>74</v>
      </c>
      <c r="B152" s="189" t="s">
        <v>338</v>
      </c>
      <c r="C152" s="34" t="s">
        <v>339</v>
      </c>
      <c r="D152" s="191">
        <f>D153+D156</f>
        <v>0</v>
      </c>
      <c r="E152" s="191">
        <f>E153+E156</f>
        <v>5681800</v>
      </c>
      <c r="F152" s="191">
        <f t="shared" ref="F152:G152" si="61">F153+F156</f>
        <v>955500</v>
      </c>
      <c r="G152" s="191">
        <f t="shared" si="61"/>
        <v>6637300</v>
      </c>
      <c r="H152" s="277" t="e">
        <f>G152/D152</f>
        <v>#DIV/0!</v>
      </c>
      <c r="I152" s="207"/>
      <c r="J152" s="175"/>
    </row>
    <row r="153" spans="1:10" s="176" customFormat="1" x14ac:dyDescent="0.25">
      <c r="A153" s="169"/>
      <c r="B153" s="189" t="s">
        <v>596</v>
      </c>
      <c r="C153" s="180" t="s">
        <v>598</v>
      </c>
      <c r="D153" s="191">
        <f>D154</f>
        <v>0</v>
      </c>
      <c r="E153" s="191">
        <f>E154</f>
        <v>3000000</v>
      </c>
      <c r="F153" s="191">
        <f t="shared" ref="F153:G153" si="62">F154</f>
        <v>0</v>
      </c>
      <c r="G153" s="191">
        <f t="shared" si="62"/>
        <v>3000000</v>
      </c>
      <c r="H153" s="277" t="e">
        <f>G153/D153</f>
        <v>#DIV/0!</v>
      </c>
      <c r="I153" s="207"/>
      <c r="J153" s="175"/>
    </row>
    <row r="154" spans="1:10" s="176" customFormat="1" x14ac:dyDescent="0.25">
      <c r="A154" s="169"/>
      <c r="B154" s="190" t="s">
        <v>597</v>
      </c>
      <c r="C154" s="33" t="s">
        <v>598</v>
      </c>
      <c r="D154" s="192">
        <v>0</v>
      </c>
      <c r="E154" s="192">
        <f>'Realisasi Februari'!G154</f>
        <v>3000000</v>
      </c>
      <c r="F154" s="192"/>
      <c r="G154" s="192">
        <f>E154+F154</f>
        <v>3000000</v>
      </c>
      <c r="H154" s="278" t="e">
        <f>G154/D154</f>
        <v>#DIV/0!</v>
      </c>
      <c r="I154" s="207"/>
      <c r="J154" s="175"/>
    </row>
    <row r="155" spans="1:10" s="176" customFormat="1" x14ac:dyDescent="0.25">
      <c r="A155" s="169"/>
      <c r="B155" s="170"/>
      <c r="C155" s="180"/>
      <c r="D155" s="191"/>
      <c r="E155" s="191"/>
      <c r="F155" s="191"/>
      <c r="G155" s="191"/>
      <c r="H155" s="277"/>
      <c r="I155" s="207"/>
      <c r="J155" s="175"/>
    </row>
    <row r="156" spans="1:10" s="176" customFormat="1" x14ac:dyDescent="0.25">
      <c r="A156" s="169"/>
      <c r="B156" s="189" t="s">
        <v>599</v>
      </c>
      <c r="C156" s="180" t="s">
        <v>601</v>
      </c>
      <c r="D156" s="191">
        <f>D157</f>
        <v>0</v>
      </c>
      <c r="E156" s="191">
        <f>E157</f>
        <v>2681800</v>
      </c>
      <c r="F156" s="191">
        <f t="shared" ref="F156:G156" si="63">F157</f>
        <v>955500</v>
      </c>
      <c r="G156" s="191">
        <f t="shared" si="63"/>
        <v>3637300</v>
      </c>
      <c r="H156" s="277" t="e">
        <f>G156/D156</f>
        <v>#DIV/0!</v>
      </c>
      <c r="I156" s="207"/>
      <c r="J156" s="175"/>
    </row>
    <row r="157" spans="1:10" s="176" customFormat="1" x14ac:dyDescent="0.25">
      <c r="A157" s="169"/>
      <c r="B157" s="190" t="s">
        <v>600</v>
      </c>
      <c r="C157" s="33" t="s">
        <v>601</v>
      </c>
      <c r="D157" s="192">
        <v>0</v>
      </c>
      <c r="E157" s="192">
        <f>'Realisasi Februari'!G157</f>
        <v>2681800</v>
      </c>
      <c r="F157" s="192">
        <v>955500</v>
      </c>
      <c r="G157" s="192">
        <f>E157+F157</f>
        <v>3637300</v>
      </c>
      <c r="H157" s="278" t="e">
        <f>G157/D157</f>
        <v>#DIV/0!</v>
      </c>
      <c r="I157" s="207"/>
      <c r="J157" s="175"/>
    </row>
    <row r="158" spans="1:10" s="176" customFormat="1" x14ac:dyDescent="0.25">
      <c r="A158" s="169"/>
      <c r="B158" s="190"/>
      <c r="C158" s="33"/>
      <c r="D158" s="192"/>
      <c r="E158" s="192"/>
      <c r="F158" s="192"/>
      <c r="G158" s="192"/>
      <c r="H158" s="278"/>
      <c r="I158" s="207"/>
      <c r="J158" s="175"/>
    </row>
    <row r="159" spans="1:10" s="176" customFormat="1" x14ac:dyDescent="0.25">
      <c r="A159" s="168" t="s">
        <v>81</v>
      </c>
      <c r="B159" s="22" t="s">
        <v>306</v>
      </c>
      <c r="C159" s="185" t="s">
        <v>75</v>
      </c>
      <c r="D159" s="196">
        <f>D160</f>
        <v>122100000000</v>
      </c>
      <c r="E159" s="196">
        <f t="shared" ref="E159:G160" si="64">E160</f>
        <v>9084068627</v>
      </c>
      <c r="F159" s="196">
        <f t="shared" si="64"/>
        <v>9288093348</v>
      </c>
      <c r="G159" s="196">
        <f t="shared" si="64"/>
        <v>18372161975</v>
      </c>
      <c r="H159" s="236">
        <f t="shared" ref="H159:H191" si="65">G159/D159</f>
        <v>0.15046815704340705</v>
      </c>
      <c r="I159" s="207" t="s">
        <v>112</v>
      </c>
      <c r="J159" s="175"/>
    </row>
    <row r="160" spans="1:10" s="176" customFormat="1" x14ac:dyDescent="0.25">
      <c r="A160" s="168"/>
      <c r="B160" s="189" t="s">
        <v>340</v>
      </c>
      <c r="C160" s="185" t="s">
        <v>341</v>
      </c>
      <c r="D160" s="196">
        <f>D161</f>
        <v>122100000000</v>
      </c>
      <c r="E160" s="196">
        <f t="shared" si="64"/>
        <v>9084068627</v>
      </c>
      <c r="F160" s="196">
        <f t="shared" si="64"/>
        <v>9288093348</v>
      </c>
      <c r="G160" s="196">
        <f t="shared" si="64"/>
        <v>18372161975</v>
      </c>
      <c r="H160" s="236">
        <f t="shared" si="65"/>
        <v>0.15046815704340705</v>
      </c>
      <c r="I160" s="207"/>
      <c r="J160" s="175"/>
    </row>
    <row r="161" spans="1:11" s="176" customFormat="1" x14ac:dyDescent="0.25">
      <c r="A161" s="188"/>
      <c r="B161" s="178"/>
      <c r="C161" s="185" t="s">
        <v>113</v>
      </c>
      <c r="D161" s="191">
        <f>D162+D169+D175+D178+D182+D185+D188+D191+D195</f>
        <v>122100000000</v>
      </c>
      <c r="E161" s="191">
        <f t="shared" ref="E161:G161" si="66">E162+E169+E175+E178+E182+E185+E188+E191+E195</f>
        <v>9084068627</v>
      </c>
      <c r="F161" s="191">
        <f t="shared" si="66"/>
        <v>9288093348</v>
      </c>
      <c r="G161" s="191">
        <f t="shared" si="66"/>
        <v>18372161975</v>
      </c>
      <c r="H161" s="236">
        <f>G161/D161</f>
        <v>0.15046815704340705</v>
      </c>
      <c r="I161" s="207" t="s">
        <v>114</v>
      </c>
      <c r="J161" s="175"/>
    </row>
    <row r="162" spans="1:11" s="176" customFormat="1" x14ac:dyDescent="0.25">
      <c r="A162" s="188"/>
      <c r="B162" s="178"/>
      <c r="C162" s="35" t="s">
        <v>115</v>
      </c>
      <c r="D162" s="191">
        <f>SUM(D163:D168)</f>
        <v>10327224000</v>
      </c>
      <c r="E162" s="191">
        <f t="shared" ref="E162:G162" si="67">SUM(E163:E168)</f>
        <v>1644285443</v>
      </c>
      <c r="F162" s="191">
        <f t="shared" si="67"/>
        <v>729371292</v>
      </c>
      <c r="G162" s="191">
        <f t="shared" si="67"/>
        <v>2373656735</v>
      </c>
      <c r="H162" s="236">
        <f t="shared" si="65"/>
        <v>0.22984460635307222</v>
      </c>
      <c r="I162" s="207"/>
      <c r="J162" s="175"/>
    </row>
    <row r="163" spans="1:11" s="176" customFormat="1" x14ac:dyDescent="0.25">
      <c r="A163" s="188"/>
      <c r="B163" s="178"/>
      <c r="C163" s="171" t="s">
        <v>116</v>
      </c>
      <c r="D163" s="192">
        <v>794144000</v>
      </c>
      <c r="E163" s="192">
        <f>'Realisasi Februari'!G163</f>
        <v>113765888</v>
      </c>
      <c r="F163" s="192">
        <v>75756010</v>
      </c>
      <c r="G163" s="192">
        <f>E163+F163</f>
        <v>189521898</v>
      </c>
      <c r="H163" s="24">
        <f t="shared" si="65"/>
        <v>0.23864928526816295</v>
      </c>
      <c r="I163" s="207"/>
      <c r="J163" s="175"/>
    </row>
    <row r="164" spans="1:11" s="176" customFormat="1" x14ac:dyDescent="0.25">
      <c r="A164" s="188"/>
      <c r="B164" s="178"/>
      <c r="C164" s="171" t="s">
        <v>117</v>
      </c>
      <c r="D164" s="192">
        <v>1454000000</v>
      </c>
      <c r="E164" s="192">
        <f>'Realisasi Februari'!G164</f>
        <v>481519616</v>
      </c>
      <c r="F164" s="192">
        <v>122140564</v>
      </c>
      <c r="G164" s="192">
        <f t="shared" ref="G164:G168" si="68">E164+F164</f>
        <v>603660180</v>
      </c>
      <c r="H164" s="24">
        <f t="shared" si="65"/>
        <v>0.41517206327372763</v>
      </c>
      <c r="I164" s="207"/>
      <c r="J164" s="175"/>
    </row>
    <row r="165" spans="1:11" s="176" customFormat="1" x14ac:dyDescent="0.25">
      <c r="A165" s="188"/>
      <c r="B165" s="178"/>
      <c r="C165" s="171" t="s">
        <v>118</v>
      </c>
      <c r="D165" s="192">
        <v>4535600000</v>
      </c>
      <c r="E165" s="192">
        <f>'Realisasi Februari'!G165</f>
        <v>563734119</v>
      </c>
      <c r="F165" s="192">
        <v>318426475</v>
      </c>
      <c r="G165" s="192">
        <f t="shared" si="68"/>
        <v>882160594</v>
      </c>
      <c r="H165" s="24">
        <f t="shared" si="65"/>
        <v>0.19449700017638238</v>
      </c>
      <c r="I165" s="207"/>
      <c r="J165" s="175"/>
    </row>
    <row r="166" spans="1:11" s="176" customFormat="1" x14ac:dyDescent="0.25">
      <c r="A166" s="188"/>
      <c r="B166" s="178"/>
      <c r="C166" s="171" t="s">
        <v>119</v>
      </c>
      <c r="D166" s="192">
        <v>2388980000</v>
      </c>
      <c r="E166" s="192">
        <f>'Realisasi Februari'!G166</f>
        <v>223897149</v>
      </c>
      <c r="F166" s="192">
        <v>125291621</v>
      </c>
      <c r="G166" s="192">
        <f t="shared" si="68"/>
        <v>349188770</v>
      </c>
      <c r="H166" s="24">
        <f t="shared" si="65"/>
        <v>0.14616646853468845</v>
      </c>
      <c r="I166" s="207"/>
      <c r="J166" s="175"/>
    </row>
    <row r="167" spans="1:11" s="176" customFormat="1" x14ac:dyDescent="0.25">
      <c r="A167" s="188"/>
      <c r="B167" s="178"/>
      <c r="C167" s="171" t="s">
        <v>120</v>
      </c>
      <c r="D167" s="192">
        <v>51200000</v>
      </c>
      <c r="E167" s="192">
        <f>'Realisasi Februari'!G167</f>
        <v>8853000</v>
      </c>
      <c r="F167" s="192">
        <v>5629000</v>
      </c>
      <c r="G167" s="192">
        <f t="shared" si="68"/>
        <v>14482000</v>
      </c>
      <c r="H167" s="24">
        <f t="shared" si="65"/>
        <v>0.28285156249999999</v>
      </c>
      <c r="I167" s="207"/>
      <c r="J167" s="175"/>
    </row>
    <row r="168" spans="1:11" s="176" customFormat="1" x14ac:dyDescent="0.25">
      <c r="A168" s="188"/>
      <c r="B168" s="178"/>
      <c r="C168" s="171" t="s">
        <v>121</v>
      </c>
      <c r="D168" s="192">
        <v>1103300000</v>
      </c>
      <c r="E168" s="192">
        <f>'Realisasi Februari'!G168</f>
        <v>252515671</v>
      </c>
      <c r="F168" s="192">
        <v>82127622</v>
      </c>
      <c r="G168" s="192">
        <f t="shared" si="68"/>
        <v>334643293</v>
      </c>
      <c r="H168" s="24">
        <f t="shared" si="65"/>
        <v>0.30331124172935736</v>
      </c>
      <c r="I168" s="207"/>
      <c r="J168" s="175"/>
    </row>
    <row r="169" spans="1:11" s="176" customFormat="1" x14ac:dyDescent="0.25">
      <c r="A169" s="188"/>
      <c r="B169" s="178"/>
      <c r="C169" s="185" t="s">
        <v>122</v>
      </c>
      <c r="D169" s="191">
        <f>SUM(D170:D174)</f>
        <v>71738434000</v>
      </c>
      <c r="E169" s="191">
        <f t="shared" ref="E169:G169" si="69">SUM(E170:E174)</f>
        <v>6848879911</v>
      </c>
      <c r="F169" s="191">
        <f t="shared" si="69"/>
        <v>8175315715</v>
      </c>
      <c r="G169" s="191">
        <f t="shared" si="69"/>
        <v>15024195626</v>
      </c>
      <c r="H169" s="236">
        <f t="shared" si="65"/>
        <v>0.20943021457647096</v>
      </c>
      <c r="I169" s="207"/>
      <c r="J169" s="175"/>
    </row>
    <row r="170" spans="1:11" s="176" customFormat="1" x14ac:dyDescent="0.25">
      <c r="A170" s="188"/>
      <c r="B170" s="178"/>
      <c r="C170" s="171" t="s">
        <v>117</v>
      </c>
      <c r="D170" s="192">
        <v>19459500000</v>
      </c>
      <c r="E170" s="192">
        <f>'Realisasi Februari'!G170</f>
        <v>2208333000</v>
      </c>
      <c r="F170" s="192">
        <v>3712897500</v>
      </c>
      <c r="G170" s="192">
        <f>E170+F170</f>
        <v>5921230500</v>
      </c>
      <c r="H170" s="24">
        <f t="shared" si="65"/>
        <v>0.30428482232328685</v>
      </c>
      <c r="I170" s="207"/>
      <c r="J170" s="175"/>
    </row>
    <row r="171" spans="1:11" s="176" customFormat="1" x14ac:dyDescent="0.25">
      <c r="A171" s="188"/>
      <c r="B171" s="178"/>
      <c r="C171" s="171" t="s">
        <v>118</v>
      </c>
      <c r="D171" s="192">
        <v>49831374000</v>
      </c>
      <c r="E171" s="192">
        <f>'Realisasi Februari'!G171</f>
        <v>3905892833</v>
      </c>
      <c r="F171" s="192">
        <v>4190264700</v>
      </c>
      <c r="G171" s="192">
        <f t="shared" ref="G171:G174" si="70">E171+F171</f>
        <v>8096157533</v>
      </c>
      <c r="H171" s="24">
        <f t="shared" si="65"/>
        <v>0.16247108765252991</v>
      </c>
      <c r="I171" s="207"/>
      <c r="J171" s="175"/>
    </row>
    <row r="172" spans="1:11" s="176" customFormat="1" x14ac:dyDescent="0.25">
      <c r="A172" s="188"/>
      <c r="B172" s="178"/>
      <c r="C172" s="171" t="s">
        <v>123</v>
      </c>
      <c r="D172" s="192">
        <v>227620000</v>
      </c>
      <c r="E172" s="192">
        <f>'Realisasi Februari'!G172</f>
        <v>82750000</v>
      </c>
      <c r="F172" s="192">
        <v>15000000</v>
      </c>
      <c r="G172" s="192">
        <f t="shared" si="70"/>
        <v>97750000</v>
      </c>
      <c r="H172" s="24">
        <f t="shared" si="65"/>
        <v>0.42944380985853614</v>
      </c>
      <c r="I172" s="207"/>
      <c r="J172" s="175"/>
    </row>
    <row r="173" spans="1:11" s="176" customFormat="1" x14ac:dyDescent="0.25">
      <c r="A173" s="188"/>
      <c r="B173" s="178"/>
      <c r="C173" s="171" t="s">
        <v>124</v>
      </c>
      <c r="D173" s="192">
        <v>2087340000</v>
      </c>
      <c r="E173" s="192">
        <f>'Realisasi Februari'!G173</f>
        <v>636304078</v>
      </c>
      <c r="F173" s="192">
        <v>233184115</v>
      </c>
      <c r="G173" s="192">
        <f t="shared" si="70"/>
        <v>869488193</v>
      </c>
      <c r="H173" s="24">
        <f t="shared" si="65"/>
        <v>0.41655321749211915</v>
      </c>
      <c r="I173" s="207"/>
      <c r="J173" s="175"/>
      <c r="K173" s="176" t="s">
        <v>671</v>
      </c>
    </row>
    <row r="174" spans="1:11" s="176" customFormat="1" x14ac:dyDescent="0.25">
      <c r="A174" s="188"/>
      <c r="B174" s="178"/>
      <c r="C174" s="171" t="s">
        <v>120</v>
      </c>
      <c r="D174" s="192">
        <v>132600000</v>
      </c>
      <c r="E174" s="192">
        <f>'Realisasi Februari'!G174</f>
        <v>15600000</v>
      </c>
      <c r="F174" s="192">
        <v>23969400</v>
      </c>
      <c r="G174" s="192">
        <f t="shared" si="70"/>
        <v>39569400</v>
      </c>
      <c r="H174" s="24">
        <f t="shared" si="65"/>
        <v>0.29841176470588238</v>
      </c>
      <c r="I174" s="207"/>
      <c r="J174" s="175"/>
    </row>
    <row r="175" spans="1:11" s="176" customFormat="1" x14ac:dyDescent="0.25">
      <c r="A175" s="188"/>
      <c r="B175" s="178"/>
      <c r="C175" s="185" t="s">
        <v>125</v>
      </c>
      <c r="D175" s="191">
        <f>SUM(D176:D177)</f>
        <v>31531500000</v>
      </c>
      <c r="E175" s="191">
        <f t="shared" ref="E175:G175" si="71">SUM(E176:E177)</f>
        <v>0</v>
      </c>
      <c r="F175" s="191">
        <f t="shared" si="71"/>
        <v>0</v>
      </c>
      <c r="G175" s="191">
        <f t="shared" si="71"/>
        <v>0</v>
      </c>
      <c r="H175" s="236">
        <f t="shared" si="65"/>
        <v>0</v>
      </c>
      <c r="I175" s="207"/>
      <c r="J175" s="175"/>
    </row>
    <row r="176" spans="1:11" s="176" customFormat="1" x14ac:dyDescent="0.25">
      <c r="A176" s="188"/>
      <c r="B176" s="178"/>
      <c r="C176" s="171" t="s">
        <v>117</v>
      </c>
      <c r="D176" s="192">
        <v>31500000</v>
      </c>
      <c r="E176" s="192">
        <f>'Realisasi Februari'!G176</f>
        <v>0</v>
      </c>
      <c r="F176" s="192"/>
      <c r="G176" s="192">
        <f>E176+F176</f>
        <v>0</v>
      </c>
      <c r="H176" s="24">
        <f t="shared" si="65"/>
        <v>0</v>
      </c>
      <c r="I176" s="207"/>
      <c r="J176" s="175"/>
    </row>
    <row r="177" spans="1:10" s="176" customFormat="1" x14ac:dyDescent="0.25">
      <c r="A177" s="188"/>
      <c r="B177" s="178"/>
      <c r="C177" s="171" t="s">
        <v>118</v>
      </c>
      <c r="D177" s="192">
        <v>31500000000</v>
      </c>
      <c r="E177" s="192">
        <f>'Realisasi Februari'!G177</f>
        <v>0</v>
      </c>
      <c r="F177" s="192"/>
      <c r="G177" s="192">
        <f>E177+F177</f>
        <v>0</v>
      </c>
      <c r="H177" s="24">
        <f t="shared" si="65"/>
        <v>0</v>
      </c>
      <c r="I177" s="207"/>
      <c r="J177" s="175"/>
    </row>
    <row r="178" spans="1:10" s="176" customFormat="1" x14ac:dyDescent="0.25">
      <c r="A178" s="188"/>
      <c r="B178" s="178"/>
      <c r="C178" s="185" t="s">
        <v>126</v>
      </c>
      <c r="D178" s="191">
        <f>SUM(D179:D181)</f>
        <v>3381016000</v>
      </c>
      <c r="E178" s="191">
        <f t="shared" ref="E178:G178" si="72">SUM(E179:E181)</f>
        <v>401259810</v>
      </c>
      <c r="F178" s="191">
        <f t="shared" si="72"/>
        <v>373012839</v>
      </c>
      <c r="G178" s="191">
        <f t="shared" si="72"/>
        <v>774272649</v>
      </c>
      <c r="H178" s="236">
        <f t="shared" si="65"/>
        <v>0.22900591094511236</v>
      </c>
      <c r="I178" s="207"/>
      <c r="J178" s="175"/>
    </row>
    <row r="179" spans="1:10" s="176" customFormat="1" x14ac:dyDescent="0.25">
      <c r="A179" s="188"/>
      <c r="B179" s="178"/>
      <c r="C179" s="171" t="s">
        <v>117</v>
      </c>
      <c r="D179" s="192">
        <v>644736000</v>
      </c>
      <c r="E179" s="192">
        <f>'Realisasi Februari'!G179</f>
        <v>57409202</v>
      </c>
      <c r="F179" s="192">
        <v>75754817</v>
      </c>
      <c r="G179" s="192">
        <f>E179+F179</f>
        <v>133164019</v>
      </c>
      <c r="H179" s="24">
        <f t="shared" si="65"/>
        <v>0.2065403808690689</v>
      </c>
      <c r="I179" s="207" t="s">
        <v>127</v>
      </c>
      <c r="J179" s="175"/>
    </row>
    <row r="180" spans="1:10" s="176" customFormat="1" x14ac:dyDescent="0.25">
      <c r="A180" s="188"/>
      <c r="B180" s="178"/>
      <c r="C180" s="171" t="s">
        <v>118</v>
      </c>
      <c r="D180" s="192">
        <v>2080780000</v>
      </c>
      <c r="E180" s="192">
        <f>'Realisasi Februari'!G180</f>
        <v>291711184</v>
      </c>
      <c r="F180" s="192">
        <v>237402287</v>
      </c>
      <c r="G180" s="192">
        <f t="shared" ref="G180:G181" si="73">E180+F180</f>
        <v>529113471</v>
      </c>
      <c r="H180" s="24">
        <f t="shared" si="65"/>
        <v>0.25428611914762733</v>
      </c>
      <c r="I180" s="207"/>
      <c r="J180" s="175"/>
    </row>
    <row r="181" spans="1:10" s="176" customFormat="1" x14ac:dyDescent="0.25">
      <c r="A181" s="188"/>
      <c r="B181" s="178"/>
      <c r="C181" s="171" t="s">
        <v>128</v>
      </c>
      <c r="D181" s="192">
        <v>655500000</v>
      </c>
      <c r="E181" s="192">
        <f>'Realisasi Februari'!G181</f>
        <v>52139424</v>
      </c>
      <c r="F181" s="192">
        <v>59855735</v>
      </c>
      <c r="G181" s="192">
        <f t="shared" si="73"/>
        <v>111995159</v>
      </c>
      <c r="H181" s="24">
        <f t="shared" si="65"/>
        <v>0.17085455225019069</v>
      </c>
      <c r="I181" s="207"/>
      <c r="J181" s="175"/>
    </row>
    <row r="182" spans="1:10" s="176" customFormat="1" x14ac:dyDescent="0.25">
      <c r="A182" s="169"/>
      <c r="B182" s="178"/>
      <c r="C182" s="185" t="s">
        <v>129</v>
      </c>
      <c r="D182" s="191">
        <f>SUM(D183:D184)</f>
        <v>3861588000</v>
      </c>
      <c r="E182" s="191">
        <f t="shared" ref="E182:G182" si="74">SUM(E183:E184)</f>
        <v>0</v>
      </c>
      <c r="F182" s="191">
        <f t="shared" si="74"/>
        <v>0</v>
      </c>
      <c r="G182" s="191">
        <f t="shared" si="74"/>
        <v>0</v>
      </c>
      <c r="H182" s="236">
        <f t="shared" si="65"/>
        <v>0</v>
      </c>
      <c r="I182" s="207"/>
      <c r="J182" s="175"/>
    </row>
    <row r="183" spans="1:10" s="176" customFormat="1" x14ac:dyDescent="0.25">
      <c r="A183" s="188"/>
      <c r="B183" s="178"/>
      <c r="C183" s="171" t="s">
        <v>117</v>
      </c>
      <c r="D183" s="192">
        <v>60588000</v>
      </c>
      <c r="E183" s="192">
        <f>'Realisasi Februari'!G183</f>
        <v>0</v>
      </c>
      <c r="F183" s="192"/>
      <c r="G183" s="192">
        <f>E183+F183</f>
        <v>0</v>
      </c>
      <c r="H183" s="24">
        <f t="shared" si="65"/>
        <v>0</v>
      </c>
      <c r="I183" s="207"/>
      <c r="J183" s="175"/>
    </row>
    <row r="184" spans="1:10" s="176" customFormat="1" x14ac:dyDescent="0.25">
      <c r="A184" s="188"/>
      <c r="B184" s="178"/>
      <c r="C184" s="171" t="s">
        <v>118</v>
      </c>
      <c r="D184" s="192">
        <v>3801000000</v>
      </c>
      <c r="E184" s="192">
        <f>'Realisasi Februari'!G184</f>
        <v>0</v>
      </c>
      <c r="F184" s="192"/>
      <c r="G184" s="192">
        <f>E184+F184</f>
        <v>0</v>
      </c>
      <c r="H184" s="24">
        <f t="shared" si="65"/>
        <v>0</v>
      </c>
      <c r="I184" s="207"/>
      <c r="J184" s="175"/>
    </row>
    <row r="185" spans="1:10" s="176" customFormat="1" x14ac:dyDescent="0.25">
      <c r="A185" s="188"/>
      <c r="B185" s="178"/>
      <c r="C185" s="185" t="s">
        <v>130</v>
      </c>
      <c r="D185" s="191">
        <f>SUM(D186:D187)</f>
        <v>249113200</v>
      </c>
      <c r="E185" s="191">
        <f t="shared" ref="E185:G185" si="75">SUM(E186:E187)</f>
        <v>0</v>
      </c>
      <c r="F185" s="191">
        <f t="shared" si="75"/>
        <v>0</v>
      </c>
      <c r="G185" s="191">
        <f t="shared" si="75"/>
        <v>0</v>
      </c>
      <c r="H185" s="236">
        <f t="shared" si="65"/>
        <v>0</v>
      </c>
      <c r="I185" s="207"/>
      <c r="J185" s="175"/>
    </row>
    <row r="186" spans="1:10" s="176" customFormat="1" x14ac:dyDescent="0.25">
      <c r="A186" s="188"/>
      <c r="B186" s="178"/>
      <c r="C186" s="171" t="s">
        <v>117</v>
      </c>
      <c r="D186" s="192">
        <v>554500</v>
      </c>
      <c r="E186" s="192">
        <f>'Realisasi Februari'!G186</f>
        <v>0</v>
      </c>
      <c r="F186" s="192"/>
      <c r="G186" s="192">
        <f>E186+F186</f>
        <v>0</v>
      </c>
      <c r="H186" s="24">
        <f t="shared" si="65"/>
        <v>0</v>
      </c>
      <c r="I186" s="207"/>
      <c r="J186" s="175"/>
    </row>
    <row r="187" spans="1:10" s="176" customFormat="1" x14ac:dyDescent="0.25">
      <c r="A187" s="188"/>
      <c r="B187" s="178"/>
      <c r="C187" s="171" t="s">
        <v>118</v>
      </c>
      <c r="D187" s="192">
        <v>248558700</v>
      </c>
      <c r="E187" s="192">
        <f>'Realisasi Februari'!G187</f>
        <v>0</v>
      </c>
      <c r="F187" s="192"/>
      <c r="G187" s="192">
        <f>E187+F187</f>
        <v>0</v>
      </c>
      <c r="H187" s="24">
        <f t="shared" si="65"/>
        <v>0</v>
      </c>
      <c r="I187" s="207"/>
      <c r="J187" s="175"/>
    </row>
    <row r="188" spans="1:10" s="176" customFormat="1" x14ac:dyDescent="0.25">
      <c r="A188" s="188"/>
      <c r="B188" s="178"/>
      <c r="C188" s="185" t="s">
        <v>131</v>
      </c>
      <c r="D188" s="191">
        <f>SUM(D189:D190)</f>
        <v>90525000</v>
      </c>
      <c r="E188" s="191">
        <f t="shared" ref="E188:G188" si="76">SUM(E189:E190)</f>
        <v>0</v>
      </c>
      <c r="F188" s="191">
        <f t="shared" si="76"/>
        <v>0</v>
      </c>
      <c r="G188" s="191">
        <f t="shared" si="76"/>
        <v>0</v>
      </c>
      <c r="H188" s="236">
        <f t="shared" si="65"/>
        <v>0</v>
      </c>
      <c r="I188" s="207"/>
      <c r="J188" s="175"/>
    </row>
    <row r="189" spans="1:10" s="176" customFormat="1" x14ac:dyDescent="0.25">
      <c r="A189" s="188"/>
      <c r="B189" s="178"/>
      <c r="C189" s="171" t="s">
        <v>117</v>
      </c>
      <c r="D189" s="192">
        <v>525000</v>
      </c>
      <c r="E189" s="192">
        <f>'Realisasi Februari'!G189</f>
        <v>0</v>
      </c>
      <c r="F189" s="192"/>
      <c r="G189" s="192">
        <f>E189+F189</f>
        <v>0</v>
      </c>
      <c r="H189" s="24">
        <f t="shared" si="65"/>
        <v>0</v>
      </c>
      <c r="I189" s="207"/>
      <c r="J189" s="175"/>
    </row>
    <row r="190" spans="1:10" s="176" customFormat="1" x14ac:dyDescent="0.25">
      <c r="A190" s="188"/>
      <c r="B190" s="178"/>
      <c r="C190" s="171" t="s">
        <v>118</v>
      </c>
      <c r="D190" s="192">
        <v>90000000</v>
      </c>
      <c r="E190" s="192">
        <f>'Realisasi Februari'!G190</f>
        <v>0</v>
      </c>
      <c r="F190" s="192"/>
      <c r="G190" s="192">
        <f>E190+F190</f>
        <v>0</v>
      </c>
      <c r="H190" s="24">
        <f t="shared" si="65"/>
        <v>0</v>
      </c>
      <c r="I190" s="207"/>
      <c r="J190" s="175"/>
    </row>
    <row r="191" spans="1:10" s="176" customFormat="1" x14ac:dyDescent="0.25">
      <c r="A191" s="188"/>
      <c r="B191" s="178"/>
      <c r="C191" s="185" t="s">
        <v>132</v>
      </c>
      <c r="D191" s="191">
        <f>SUM(D192:D194)</f>
        <v>732799800</v>
      </c>
      <c r="E191" s="191">
        <f t="shared" ref="E191:G191" si="77">SUM(E192:E194)</f>
        <v>163215000</v>
      </c>
      <c r="F191" s="191">
        <f t="shared" si="77"/>
        <v>8550000</v>
      </c>
      <c r="G191" s="191">
        <f t="shared" si="77"/>
        <v>171765000</v>
      </c>
      <c r="H191" s="236">
        <f t="shared" si="65"/>
        <v>0.2343955334048945</v>
      </c>
      <c r="I191" s="207"/>
      <c r="J191" s="175"/>
    </row>
    <row r="192" spans="1:10" s="176" customFormat="1" x14ac:dyDescent="0.25">
      <c r="A192" s="188"/>
      <c r="B192" s="178"/>
      <c r="C192" s="171" t="s">
        <v>133</v>
      </c>
      <c r="D192" s="192">
        <v>0</v>
      </c>
      <c r="E192" s="192">
        <f>'Realisasi Februari'!G192</f>
        <v>0</v>
      </c>
      <c r="F192" s="192"/>
      <c r="G192" s="192">
        <f>E192+F192</f>
        <v>0</v>
      </c>
      <c r="H192" s="24"/>
      <c r="I192" s="207"/>
      <c r="J192" s="175"/>
    </row>
    <row r="193" spans="1:12" s="176" customFormat="1" x14ac:dyDescent="0.25">
      <c r="A193" s="188"/>
      <c r="B193" s="178"/>
      <c r="C193" s="171" t="s">
        <v>134</v>
      </c>
      <c r="D193" s="192">
        <v>28000000</v>
      </c>
      <c r="E193" s="192">
        <f>'Realisasi Februari'!G193</f>
        <v>21200000</v>
      </c>
      <c r="F193" s="192">
        <v>6100000</v>
      </c>
      <c r="G193" s="192">
        <f t="shared" ref="G193:G194" si="78">E193+F193</f>
        <v>27300000</v>
      </c>
      <c r="H193" s="24">
        <f>G193/D193</f>
        <v>0.97499999999999998</v>
      </c>
      <c r="I193" s="207" t="s">
        <v>135</v>
      </c>
      <c r="J193" s="175"/>
    </row>
    <row r="194" spans="1:12" s="176" customFormat="1" x14ac:dyDescent="0.25">
      <c r="A194" s="188"/>
      <c r="B194" s="178"/>
      <c r="C194" s="171" t="s">
        <v>136</v>
      </c>
      <c r="D194" s="192">
        <v>704799800</v>
      </c>
      <c r="E194" s="192">
        <f>'Realisasi Februari'!G194</f>
        <v>142015000</v>
      </c>
      <c r="F194" s="192">
        <v>2450000</v>
      </c>
      <c r="G194" s="192">
        <f t="shared" si="78"/>
        <v>144465000</v>
      </c>
      <c r="H194" s="24">
        <f>G194/D194</f>
        <v>0.20497310016262774</v>
      </c>
      <c r="I194" s="207"/>
      <c r="J194" s="175"/>
    </row>
    <row r="195" spans="1:12" s="176" customFormat="1" x14ac:dyDescent="0.25">
      <c r="A195" s="188"/>
      <c r="B195" s="178"/>
      <c r="C195" s="185" t="s">
        <v>137</v>
      </c>
      <c r="D195" s="191">
        <f>SUM(D196:D197)</f>
        <v>187800000</v>
      </c>
      <c r="E195" s="191">
        <f t="shared" ref="E195:G195" si="79">SUM(E196:E197)</f>
        <v>26428463</v>
      </c>
      <c r="F195" s="191">
        <f t="shared" si="79"/>
        <v>1843502</v>
      </c>
      <c r="G195" s="191">
        <f t="shared" si="79"/>
        <v>28271965</v>
      </c>
      <c r="H195" s="236">
        <f>G195/D195</f>
        <v>0.15054294462193824</v>
      </c>
      <c r="I195" s="207"/>
      <c r="J195" s="175"/>
    </row>
    <row r="196" spans="1:12" s="176" customFormat="1" x14ac:dyDescent="0.25">
      <c r="A196" s="188"/>
      <c r="B196" s="178"/>
      <c r="C196" s="171" t="s">
        <v>138</v>
      </c>
      <c r="D196" s="192">
        <v>133800000</v>
      </c>
      <c r="E196" s="192">
        <f>'Realisasi Februari'!G196</f>
        <v>26428463</v>
      </c>
      <c r="F196" s="192">
        <v>1843502</v>
      </c>
      <c r="G196" s="192">
        <f>E196+F196</f>
        <v>28271965</v>
      </c>
      <c r="H196" s="24">
        <f>G196/D196</f>
        <v>0.21130018684603885</v>
      </c>
      <c r="I196" s="207" t="s">
        <v>139</v>
      </c>
      <c r="J196" s="175"/>
    </row>
    <row r="197" spans="1:12" s="176" customFormat="1" x14ac:dyDescent="0.25">
      <c r="A197" s="188"/>
      <c r="B197" s="178"/>
      <c r="C197" s="171" t="s">
        <v>140</v>
      </c>
      <c r="D197" s="192">
        <v>54000000</v>
      </c>
      <c r="E197" s="192">
        <f>'Realisasi Februari'!G197</f>
        <v>0</v>
      </c>
      <c r="F197" s="192"/>
      <c r="G197" s="192">
        <f>E197+F197</f>
        <v>0</v>
      </c>
      <c r="H197" s="24">
        <f>G197/D197</f>
        <v>0</v>
      </c>
      <c r="I197" s="207"/>
      <c r="J197" s="175"/>
    </row>
    <row r="198" spans="1:12" s="176" customFormat="1" x14ac:dyDescent="0.25">
      <c r="A198" s="188"/>
      <c r="B198" s="178"/>
      <c r="C198" s="171"/>
      <c r="D198" s="192"/>
      <c r="E198" s="192"/>
      <c r="F198" s="192"/>
      <c r="G198" s="191"/>
      <c r="H198" s="236"/>
      <c r="I198" s="207"/>
      <c r="J198" s="175"/>
    </row>
    <row r="199" spans="1:12" s="176" customFormat="1" x14ac:dyDescent="0.25">
      <c r="A199" s="168" t="s">
        <v>452</v>
      </c>
      <c r="B199" s="22" t="s">
        <v>306</v>
      </c>
      <c r="C199" s="185" t="s">
        <v>75</v>
      </c>
      <c r="D199" s="191">
        <f>SUM(D200)</f>
        <v>14496560466</v>
      </c>
      <c r="E199" s="191">
        <f t="shared" ref="E199:G199" si="80">SUM(E200)</f>
        <v>2186830090.9900002</v>
      </c>
      <c r="F199" s="191">
        <f t="shared" si="80"/>
        <v>1094189232.9199998</v>
      </c>
      <c r="G199" s="191">
        <f t="shared" si="80"/>
        <v>3281019323.9099998</v>
      </c>
      <c r="H199" s="236">
        <f t="shared" ref="H199:H211" si="81">G199/D199</f>
        <v>0.22633088252935929</v>
      </c>
      <c r="I199" s="207" t="s">
        <v>141</v>
      </c>
      <c r="J199" s="175"/>
    </row>
    <row r="200" spans="1:12" s="176" customFormat="1" x14ac:dyDescent="0.25">
      <c r="A200" s="188"/>
      <c r="B200" s="189" t="s">
        <v>340</v>
      </c>
      <c r="C200" s="185" t="s">
        <v>341</v>
      </c>
      <c r="D200" s="191">
        <f>D201</f>
        <v>14496560466</v>
      </c>
      <c r="E200" s="191">
        <f>E201</f>
        <v>2186830090.9900002</v>
      </c>
      <c r="F200" s="191">
        <f t="shared" ref="F200:G200" si="82">F201</f>
        <v>1094189232.9199998</v>
      </c>
      <c r="G200" s="191">
        <f t="shared" si="82"/>
        <v>3281019323.9099998</v>
      </c>
      <c r="H200" s="236">
        <f t="shared" si="81"/>
        <v>0.22633088252935929</v>
      </c>
      <c r="I200" s="207" t="s">
        <v>143</v>
      </c>
      <c r="J200" s="294"/>
      <c r="K200" s="295"/>
      <c r="L200" s="295"/>
    </row>
    <row r="201" spans="1:12" s="176" customFormat="1" x14ac:dyDescent="0.25">
      <c r="A201" s="188"/>
      <c r="B201" s="178"/>
      <c r="C201" s="172" t="s">
        <v>142</v>
      </c>
      <c r="D201" s="191">
        <f>SUM(D202:D211)</f>
        <v>14496560466</v>
      </c>
      <c r="E201" s="191">
        <f>SUM(E202:E211)</f>
        <v>2186830090.9900002</v>
      </c>
      <c r="F201" s="191">
        <f t="shared" ref="F201:G201" si="83">SUM(F202:F211)</f>
        <v>1094189232.9199998</v>
      </c>
      <c r="G201" s="191">
        <f t="shared" si="83"/>
        <v>3281019323.9099998</v>
      </c>
      <c r="H201" s="236">
        <f t="shared" si="81"/>
        <v>0.22633088252935929</v>
      </c>
      <c r="I201" s="207"/>
      <c r="J201" s="294"/>
      <c r="K201" s="295"/>
      <c r="L201" s="295"/>
    </row>
    <row r="202" spans="1:12" s="176" customFormat="1" x14ac:dyDescent="0.25">
      <c r="A202" s="188"/>
      <c r="B202" s="178"/>
      <c r="C202" s="171" t="s">
        <v>144</v>
      </c>
      <c r="D202" s="192">
        <v>1873243500</v>
      </c>
      <c r="E202" s="192">
        <f>'Realisasi Februari'!G202</f>
        <v>247798451.72</v>
      </c>
      <c r="F202" s="192">
        <v>126038865.01000001</v>
      </c>
      <c r="G202" s="192">
        <f>E202+F202</f>
        <v>373837316.73000002</v>
      </c>
      <c r="H202" s="24">
        <f t="shared" si="81"/>
        <v>0.19956685648715719</v>
      </c>
      <c r="I202" s="207" t="s">
        <v>145</v>
      </c>
      <c r="J202" s="294"/>
      <c r="K202" s="296"/>
      <c r="L202" s="295"/>
    </row>
    <row r="203" spans="1:12" s="176" customFormat="1" x14ac:dyDescent="0.25">
      <c r="A203" s="188"/>
      <c r="B203" s="178"/>
      <c r="C203" s="171" t="s">
        <v>146</v>
      </c>
      <c r="D203" s="192">
        <v>1100000000</v>
      </c>
      <c r="E203" s="192">
        <f>'Realisasi Februari'!G203</f>
        <v>150563168.94999999</v>
      </c>
      <c r="F203" s="192">
        <v>72669166.939999998</v>
      </c>
      <c r="G203" s="192">
        <f t="shared" ref="G203:G211" si="84">E203+F203</f>
        <v>223232335.88999999</v>
      </c>
      <c r="H203" s="24">
        <f t="shared" si="81"/>
        <v>0.20293848717272725</v>
      </c>
      <c r="I203" s="207"/>
      <c r="J203" s="294"/>
      <c r="K203" s="296"/>
      <c r="L203" s="295"/>
    </row>
    <row r="204" spans="1:12" s="176" customFormat="1" x14ac:dyDescent="0.25">
      <c r="A204" s="188"/>
      <c r="B204" s="178"/>
      <c r="C204" s="171" t="s">
        <v>147</v>
      </c>
      <c r="D204" s="192">
        <v>1400000000</v>
      </c>
      <c r="E204" s="192">
        <f>'Realisasi Februari'!G204</f>
        <v>185625216.25999999</v>
      </c>
      <c r="F204" s="192">
        <v>100446202.67</v>
      </c>
      <c r="G204" s="192">
        <f t="shared" si="84"/>
        <v>286071418.93000001</v>
      </c>
      <c r="H204" s="24">
        <f t="shared" si="81"/>
        <v>0.20433672780714288</v>
      </c>
      <c r="I204" s="207" t="s">
        <v>148</v>
      </c>
      <c r="J204" s="294"/>
      <c r="K204" s="296"/>
      <c r="L204" s="295"/>
    </row>
    <row r="205" spans="1:12" s="176" customFormat="1" x14ac:dyDescent="0.25">
      <c r="A205" s="188"/>
      <c r="B205" s="178"/>
      <c r="C205" s="171" t="s">
        <v>149</v>
      </c>
      <c r="D205" s="192">
        <v>2361598960</v>
      </c>
      <c r="E205" s="192">
        <f>'Realisasi Februari'!G205</f>
        <v>373771323.81999999</v>
      </c>
      <c r="F205" s="192">
        <v>179123772.63999999</v>
      </c>
      <c r="G205" s="192">
        <f t="shared" si="84"/>
        <v>552895096.46000004</v>
      </c>
      <c r="H205" s="24">
        <f t="shared" si="81"/>
        <v>0.234118961697036</v>
      </c>
      <c r="I205" s="207" t="s">
        <v>150</v>
      </c>
      <c r="J205" s="294"/>
      <c r="K205" s="296"/>
      <c r="L205" s="295"/>
    </row>
    <row r="206" spans="1:12" s="176" customFormat="1" x14ac:dyDescent="0.25">
      <c r="A206" s="188"/>
      <c r="B206" s="178"/>
      <c r="C206" s="171" t="s">
        <v>151</v>
      </c>
      <c r="D206" s="192">
        <v>922500000</v>
      </c>
      <c r="E206" s="192">
        <f>'Realisasi Februari'!G206</f>
        <v>142836587.89999998</v>
      </c>
      <c r="F206" s="181">
        <v>71513168.730000004</v>
      </c>
      <c r="G206" s="192">
        <f t="shared" si="84"/>
        <v>214349756.63</v>
      </c>
      <c r="H206" s="24">
        <f t="shared" si="81"/>
        <v>0.23235745976151762</v>
      </c>
      <c r="I206" s="207" t="s">
        <v>152</v>
      </c>
      <c r="J206" s="294"/>
      <c r="K206" s="296"/>
      <c r="L206" s="295"/>
    </row>
    <row r="207" spans="1:12" s="176" customFormat="1" x14ac:dyDescent="0.25">
      <c r="A207" s="188"/>
      <c r="B207" s="178"/>
      <c r="C207" s="171" t="s">
        <v>153</v>
      </c>
      <c r="D207" s="192">
        <v>1105404000</v>
      </c>
      <c r="E207" s="192">
        <f>'Realisasi Februari'!G207</f>
        <v>182432429.76999998</v>
      </c>
      <c r="F207" s="192">
        <v>94021884.799999997</v>
      </c>
      <c r="G207" s="192">
        <f t="shared" si="84"/>
        <v>276454314.56999999</v>
      </c>
      <c r="H207" s="24">
        <f t="shared" si="81"/>
        <v>0.25009346317726366</v>
      </c>
      <c r="I207" s="207"/>
      <c r="J207" s="294"/>
      <c r="K207" s="296"/>
      <c r="L207" s="295"/>
    </row>
    <row r="208" spans="1:12" s="176" customFormat="1" x14ac:dyDescent="0.25">
      <c r="A208" s="188"/>
      <c r="B208" s="178"/>
      <c r="C208" s="171" t="s">
        <v>154</v>
      </c>
      <c r="D208" s="192">
        <v>551536356</v>
      </c>
      <c r="E208" s="192">
        <f>'Realisasi Februari'!G208</f>
        <v>98229892.430000007</v>
      </c>
      <c r="F208" s="181">
        <v>50198745.670000002</v>
      </c>
      <c r="G208" s="192">
        <f t="shared" si="84"/>
        <v>148428638.10000002</v>
      </c>
      <c r="H208" s="24">
        <f t="shared" si="81"/>
        <v>0.26911850231682644</v>
      </c>
      <c r="I208" s="207" t="s">
        <v>155</v>
      </c>
      <c r="J208" s="294"/>
      <c r="K208" s="296"/>
      <c r="L208" s="295"/>
    </row>
    <row r="209" spans="1:12" s="176" customFormat="1" x14ac:dyDescent="0.25">
      <c r="A209" s="188"/>
      <c r="B209" s="178"/>
      <c r="C209" s="171" t="s">
        <v>156</v>
      </c>
      <c r="D209" s="192">
        <v>2380000000</v>
      </c>
      <c r="E209" s="192">
        <f>'Realisasi Februari'!G209</f>
        <v>383240781.44</v>
      </c>
      <c r="F209" s="181">
        <v>195393421.19999999</v>
      </c>
      <c r="G209" s="192">
        <f t="shared" si="84"/>
        <v>578634202.63999999</v>
      </c>
      <c r="H209" s="24">
        <f t="shared" si="81"/>
        <v>0.24312361455462184</v>
      </c>
      <c r="I209" s="207" t="s">
        <v>157</v>
      </c>
      <c r="J209" s="294"/>
      <c r="K209" s="296"/>
      <c r="L209" s="295"/>
    </row>
    <row r="210" spans="1:12" s="176" customFormat="1" x14ac:dyDescent="0.25">
      <c r="A210" s="188"/>
      <c r="B210" s="178"/>
      <c r="C210" s="171" t="s">
        <v>158</v>
      </c>
      <c r="D210" s="192">
        <v>1048195000</v>
      </c>
      <c r="E210" s="192">
        <f>'Realisasi Februari'!G210</f>
        <v>177242845.06</v>
      </c>
      <c r="F210" s="192">
        <v>87330761.900000006</v>
      </c>
      <c r="G210" s="192">
        <f t="shared" si="84"/>
        <v>264573606.96000001</v>
      </c>
      <c r="H210" s="24">
        <f t="shared" si="81"/>
        <v>0.25240876646043914</v>
      </c>
      <c r="I210" s="207" t="s">
        <v>159</v>
      </c>
      <c r="J210" s="294"/>
      <c r="K210" s="296"/>
      <c r="L210" s="295"/>
    </row>
    <row r="211" spans="1:12" s="176" customFormat="1" x14ac:dyDescent="0.25">
      <c r="A211" s="188"/>
      <c r="B211" s="178"/>
      <c r="C211" s="171" t="s">
        <v>160</v>
      </c>
      <c r="D211" s="192">
        <v>1754082650</v>
      </c>
      <c r="E211" s="192">
        <f>'Realisasi Februari'!G211</f>
        <v>245089393.63999999</v>
      </c>
      <c r="F211" s="192">
        <v>117453243.36</v>
      </c>
      <c r="G211" s="192">
        <f t="shared" si="84"/>
        <v>362542637</v>
      </c>
      <c r="H211" s="24">
        <f t="shared" si="81"/>
        <v>0.20668503676266337</v>
      </c>
      <c r="I211" s="207" t="s">
        <v>161</v>
      </c>
      <c r="J211" s="294"/>
      <c r="K211" s="296"/>
      <c r="L211" s="295"/>
    </row>
    <row r="212" spans="1:12" s="176" customFormat="1" x14ac:dyDescent="0.25">
      <c r="A212" s="188"/>
      <c r="B212" s="178"/>
      <c r="C212" s="171"/>
      <c r="D212" s="192"/>
      <c r="E212" s="192"/>
      <c r="F212" s="192"/>
      <c r="G212" s="192"/>
      <c r="H212" s="24"/>
      <c r="I212" s="207"/>
      <c r="J212" s="294"/>
      <c r="K212" s="295"/>
      <c r="L212" s="295"/>
    </row>
    <row r="213" spans="1:12" s="176" customFormat="1" x14ac:dyDescent="0.25">
      <c r="A213" s="168" t="s">
        <v>591</v>
      </c>
      <c r="B213" s="22" t="s">
        <v>306</v>
      </c>
      <c r="C213" s="185" t="s">
        <v>75</v>
      </c>
      <c r="D213" s="196">
        <f t="shared" ref="D213:G216" si="85">D214</f>
        <v>167200000</v>
      </c>
      <c r="E213" s="196">
        <f t="shared" si="85"/>
        <v>13208060</v>
      </c>
      <c r="F213" s="196">
        <f t="shared" si="85"/>
        <v>9906977</v>
      </c>
      <c r="G213" s="196">
        <f t="shared" si="85"/>
        <v>23115037</v>
      </c>
      <c r="H213" s="236">
        <f>G213/D213</f>
        <v>0.13824782894736842</v>
      </c>
      <c r="I213" s="209"/>
      <c r="J213" s="294"/>
      <c r="K213" s="295"/>
      <c r="L213" s="295"/>
    </row>
    <row r="214" spans="1:12" s="176" customFormat="1" x14ac:dyDescent="0.25">
      <c r="A214" s="188"/>
      <c r="B214" s="189" t="s">
        <v>340</v>
      </c>
      <c r="C214" s="185" t="s">
        <v>341</v>
      </c>
      <c r="D214" s="196">
        <f t="shared" si="85"/>
        <v>167200000</v>
      </c>
      <c r="E214" s="196">
        <f t="shared" si="85"/>
        <v>13208060</v>
      </c>
      <c r="F214" s="196">
        <f t="shared" si="85"/>
        <v>9906977</v>
      </c>
      <c r="G214" s="196">
        <f t="shared" si="85"/>
        <v>23115037</v>
      </c>
      <c r="H214" s="236">
        <f>G214/D214</f>
        <v>0.13824782894736842</v>
      </c>
      <c r="I214" s="209"/>
      <c r="J214" s="294"/>
      <c r="K214" s="295"/>
      <c r="L214" s="295"/>
    </row>
    <row r="215" spans="1:12" s="176" customFormat="1" x14ac:dyDescent="0.25">
      <c r="A215" s="188"/>
      <c r="B215" s="22"/>
      <c r="C215" s="185" t="s">
        <v>76</v>
      </c>
      <c r="D215" s="196">
        <f t="shared" si="85"/>
        <v>167200000</v>
      </c>
      <c r="E215" s="196">
        <f t="shared" si="85"/>
        <v>13208060</v>
      </c>
      <c r="F215" s="196">
        <f t="shared" si="85"/>
        <v>9906977</v>
      </c>
      <c r="G215" s="196">
        <f t="shared" si="85"/>
        <v>23115037</v>
      </c>
      <c r="H215" s="236">
        <f>G215/D215</f>
        <v>0.13824782894736842</v>
      </c>
      <c r="I215" s="209"/>
      <c r="J215" s="294"/>
      <c r="K215" s="295"/>
      <c r="L215" s="295"/>
    </row>
    <row r="216" spans="1:12" s="176" customFormat="1" x14ac:dyDescent="0.25">
      <c r="A216" s="188"/>
      <c r="B216" s="178"/>
      <c r="C216" s="183" t="s">
        <v>77</v>
      </c>
      <c r="D216" s="191">
        <f t="shared" si="85"/>
        <v>167200000</v>
      </c>
      <c r="E216" s="191">
        <f t="shared" si="85"/>
        <v>13208060</v>
      </c>
      <c r="F216" s="191">
        <f t="shared" si="85"/>
        <v>9906977</v>
      </c>
      <c r="G216" s="191">
        <f t="shared" si="85"/>
        <v>23115037</v>
      </c>
      <c r="H216" s="236">
        <f>G216/D216</f>
        <v>0.13824782894736842</v>
      </c>
      <c r="I216" s="207"/>
      <c r="J216" s="294"/>
      <c r="K216" s="295"/>
      <c r="L216" s="295"/>
    </row>
    <row r="217" spans="1:12" s="176" customFormat="1" x14ac:dyDescent="0.25">
      <c r="A217" s="182"/>
      <c r="B217" s="177" t="s">
        <v>79</v>
      </c>
      <c r="C217" s="183" t="s">
        <v>80</v>
      </c>
      <c r="D217" s="192">
        <v>167200000</v>
      </c>
      <c r="E217" s="192">
        <f>'Realisasi Februari'!G217</f>
        <v>13208060</v>
      </c>
      <c r="F217" s="192">
        <v>9906977</v>
      </c>
      <c r="G217" s="192">
        <f>E217+F217</f>
        <v>23115037</v>
      </c>
      <c r="H217" s="24">
        <f>G217/D217</f>
        <v>0.13824782894736842</v>
      </c>
      <c r="I217" s="207" t="s">
        <v>78</v>
      </c>
      <c r="J217" s="294"/>
      <c r="K217" s="295"/>
      <c r="L217" s="295"/>
    </row>
    <row r="218" spans="1:12" s="176" customFormat="1" x14ac:dyDescent="0.25">
      <c r="A218" s="182"/>
      <c r="B218" s="177"/>
      <c r="C218" s="183"/>
      <c r="D218" s="192"/>
      <c r="E218" s="192"/>
      <c r="F218" s="192"/>
      <c r="G218" s="191"/>
      <c r="H218" s="24"/>
      <c r="I218" s="207"/>
      <c r="J218" s="294"/>
      <c r="K218" s="295"/>
      <c r="L218" s="295"/>
    </row>
    <row r="219" spans="1:12" s="187" customFormat="1" x14ac:dyDescent="0.25">
      <c r="A219" s="165" t="s">
        <v>627</v>
      </c>
      <c r="B219" s="179" t="s">
        <v>446</v>
      </c>
      <c r="C219" s="180" t="s">
        <v>447</v>
      </c>
      <c r="D219" s="191">
        <f>D220</f>
        <v>0</v>
      </c>
      <c r="E219" s="191"/>
      <c r="F219" s="191">
        <f>F220</f>
        <v>0</v>
      </c>
      <c r="G219" s="191">
        <f>G220</f>
        <v>0</v>
      </c>
      <c r="H219" s="236" t="e">
        <f>G219/D219</f>
        <v>#DIV/0!</v>
      </c>
      <c r="I219" s="216"/>
      <c r="J219" s="186"/>
    </row>
    <row r="220" spans="1:12" s="187" customFormat="1" x14ac:dyDescent="0.25">
      <c r="A220" s="254"/>
      <c r="B220" s="179" t="s">
        <v>448</v>
      </c>
      <c r="C220" s="180" t="s">
        <v>449</v>
      </c>
      <c r="D220" s="191">
        <f>SUM(D221:D223)</f>
        <v>0</v>
      </c>
      <c r="E220" s="191"/>
      <c r="F220" s="191">
        <f>SUM(F221:F223)</f>
        <v>0</v>
      </c>
      <c r="G220" s="191">
        <f>SUM(G221:G223)</f>
        <v>0</v>
      </c>
      <c r="H220" s="236" t="e">
        <f>G220/D220</f>
        <v>#DIV/0!</v>
      </c>
      <c r="I220" s="216"/>
      <c r="J220" s="186"/>
    </row>
    <row r="221" spans="1:12" s="176" customFormat="1" x14ac:dyDescent="0.25">
      <c r="A221" s="182"/>
      <c r="B221" s="178"/>
      <c r="C221" s="193" t="s">
        <v>450</v>
      </c>
      <c r="D221" s="192">
        <v>0</v>
      </c>
      <c r="E221" s="192">
        <f>'Realisasi Februari'!G221</f>
        <v>0</v>
      </c>
      <c r="F221" s="192"/>
      <c r="G221" s="192">
        <f>E221+F221</f>
        <v>0</v>
      </c>
      <c r="H221" s="252" t="e">
        <f>G221/D221</f>
        <v>#DIV/0!</v>
      </c>
      <c r="I221" s="207"/>
      <c r="J221" s="175"/>
    </row>
    <row r="222" spans="1:12" s="176" customFormat="1" x14ac:dyDescent="0.25">
      <c r="A222" s="182"/>
      <c r="B222" s="178"/>
      <c r="C222" s="193" t="s">
        <v>451</v>
      </c>
      <c r="D222" s="192">
        <v>0</v>
      </c>
      <c r="E222" s="192">
        <f>'Realisasi Februari'!G222</f>
        <v>0</v>
      </c>
      <c r="F222" s="192"/>
      <c r="G222" s="192">
        <f>E222+F222</f>
        <v>0</v>
      </c>
      <c r="H222" s="252" t="e">
        <f>G222/D222</f>
        <v>#DIV/0!</v>
      </c>
      <c r="I222" s="207"/>
      <c r="J222" s="175"/>
    </row>
    <row r="223" spans="1:12" s="176" customFormat="1" x14ac:dyDescent="0.25">
      <c r="A223" s="182"/>
      <c r="B223" s="178"/>
      <c r="C223" s="193"/>
      <c r="D223" s="192"/>
      <c r="E223" s="192"/>
      <c r="F223" s="192"/>
      <c r="G223" s="192"/>
      <c r="H223" s="252"/>
      <c r="I223" s="207"/>
      <c r="J223" s="175"/>
    </row>
    <row r="224" spans="1:12" s="176" customFormat="1" x14ac:dyDescent="0.25">
      <c r="A224" s="182"/>
      <c r="B224" s="36"/>
      <c r="C224" s="37"/>
      <c r="D224" s="192"/>
      <c r="E224" s="192"/>
      <c r="F224" s="192"/>
      <c r="G224" s="191"/>
      <c r="H224" s="236"/>
      <c r="I224" s="222"/>
      <c r="J224" s="175"/>
    </row>
    <row r="225" spans="1:11" s="176" customFormat="1" ht="24.75" customHeight="1" x14ac:dyDescent="0.25">
      <c r="A225" s="126" t="s">
        <v>163</v>
      </c>
      <c r="B225" s="128" t="s">
        <v>164</v>
      </c>
      <c r="C225" s="41" t="s">
        <v>268</v>
      </c>
      <c r="D225" s="42">
        <f>SUM(D226+D415)</f>
        <v>748486409081</v>
      </c>
      <c r="E225" s="42">
        <f t="shared" ref="E225:G225" si="86">SUM(E226+E415)</f>
        <v>125129829900</v>
      </c>
      <c r="F225" s="42">
        <f t="shared" si="86"/>
        <v>46241548800</v>
      </c>
      <c r="G225" s="42">
        <f t="shared" si="86"/>
        <v>171371378700</v>
      </c>
      <c r="H225" s="237">
        <f t="shared" ref="H225:H230" si="87">G225/D225</f>
        <v>0.22895723505575966</v>
      </c>
      <c r="I225" s="223"/>
      <c r="J225" s="175"/>
      <c r="K225" s="270"/>
    </row>
    <row r="226" spans="1:11" s="176" customFormat="1" x14ac:dyDescent="0.25">
      <c r="A226" s="134" t="s">
        <v>416</v>
      </c>
      <c r="B226" s="135" t="s">
        <v>350</v>
      </c>
      <c r="C226" s="136" t="s">
        <v>351</v>
      </c>
      <c r="D226" s="137">
        <f>SUM(D227+D408)</f>
        <v>643257080000</v>
      </c>
      <c r="E226" s="137">
        <f t="shared" ref="E226:G226" si="88">SUM(E227+E408)</f>
        <v>125129829900</v>
      </c>
      <c r="F226" s="137">
        <f t="shared" si="88"/>
        <v>46241548800</v>
      </c>
      <c r="G226" s="137">
        <f t="shared" si="88"/>
        <v>171371378700</v>
      </c>
      <c r="H226" s="238">
        <f t="shared" si="87"/>
        <v>0.26641195880813312</v>
      </c>
      <c r="I226" s="223"/>
      <c r="J226" s="175"/>
    </row>
    <row r="227" spans="1:11" s="176" customFormat="1" x14ac:dyDescent="0.25">
      <c r="A227" s="123" t="s">
        <v>89</v>
      </c>
      <c r="B227" s="133" t="s">
        <v>352</v>
      </c>
      <c r="C227" s="124" t="s">
        <v>165</v>
      </c>
      <c r="D227" s="125">
        <f>SUM(D228+D293+D295+D363)</f>
        <v>643257080000</v>
      </c>
      <c r="E227" s="125">
        <f t="shared" ref="E227:G227" si="89">SUM(E228+E293+E295+E363)</f>
        <v>125129829900</v>
      </c>
      <c r="F227" s="125">
        <f t="shared" si="89"/>
        <v>46241548800</v>
      </c>
      <c r="G227" s="125">
        <f t="shared" si="89"/>
        <v>171371378700</v>
      </c>
      <c r="H227" s="239">
        <f t="shared" si="87"/>
        <v>0.26641195880813312</v>
      </c>
      <c r="I227" s="223"/>
      <c r="J227" s="175"/>
      <c r="K227" s="270"/>
    </row>
    <row r="228" spans="1:11" s="176" customFormat="1" x14ac:dyDescent="0.25">
      <c r="A228" s="138" t="s">
        <v>166</v>
      </c>
      <c r="B228" s="139" t="s">
        <v>353</v>
      </c>
      <c r="C228" s="140" t="s">
        <v>354</v>
      </c>
      <c r="D228" s="141">
        <f>SUM(D229+D260+D264+D268+D272+D276+D280+D285+D288)</f>
        <v>154499794000</v>
      </c>
      <c r="E228" s="141">
        <f>SUM(E229+E260+E264+E268+E272+E276+E280+E285+E288)</f>
        <v>18725119900</v>
      </c>
      <c r="F228" s="141">
        <f>SUM(F229+F260+F264+F268+F272+F276+F280+F285+F288)</f>
        <v>10445378800</v>
      </c>
      <c r="G228" s="141">
        <f>G229+G260+G264+G268+G272+G276+G280+G288</f>
        <v>29170498700</v>
      </c>
      <c r="H228" s="240">
        <f t="shared" si="87"/>
        <v>0.18880606856990373</v>
      </c>
      <c r="I228" s="224"/>
      <c r="J228" s="175"/>
      <c r="K228" s="270"/>
    </row>
    <row r="229" spans="1:11" s="187" customFormat="1" x14ac:dyDescent="0.25">
      <c r="A229" s="184" t="s">
        <v>406</v>
      </c>
      <c r="B229" s="189" t="s">
        <v>355</v>
      </c>
      <c r="C229" s="185" t="s">
        <v>356</v>
      </c>
      <c r="D229" s="196">
        <f>D230+D240</f>
        <v>25228962000</v>
      </c>
      <c r="E229" s="196">
        <f t="shared" ref="E229:G229" si="90">E230+E240</f>
        <v>0</v>
      </c>
      <c r="F229" s="196">
        <f t="shared" si="90"/>
        <v>3832148000</v>
      </c>
      <c r="G229" s="196">
        <f t="shared" si="90"/>
        <v>3832148000</v>
      </c>
      <c r="H229" s="236">
        <f t="shared" si="87"/>
        <v>0.15189479456190072</v>
      </c>
      <c r="I229" s="225" t="s">
        <v>167</v>
      </c>
      <c r="J229" s="186"/>
    </row>
    <row r="230" spans="1:11" s="187" customFormat="1" x14ac:dyDescent="0.25">
      <c r="A230" s="184"/>
      <c r="B230" s="189"/>
      <c r="C230" s="185" t="s">
        <v>633</v>
      </c>
      <c r="D230" s="196">
        <v>25228962000</v>
      </c>
      <c r="E230" s="196">
        <f>'Realisasi Februari'!G230</f>
        <v>0</v>
      </c>
      <c r="F230" s="196">
        <f t="shared" ref="F230:G230" si="91">SUM(F231:F239)</f>
        <v>3832148000</v>
      </c>
      <c r="G230" s="196">
        <f t="shared" si="91"/>
        <v>3832148000</v>
      </c>
      <c r="H230" s="236">
        <f t="shared" si="87"/>
        <v>0.15189479456190072</v>
      </c>
      <c r="I230" s="225"/>
      <c r="J230" s="186"/>
    </row>
    <row r="231" spans="1:11" s="187" customFormat="1" x14ac:dyDescent="0.25">
      <c r="A231" s="184"/>
      <c r="B231" s="190"/>
      <c r="C231" s="193" t="s">
        <v>453</v>
      </c>
      <c r="D231" s="181"/>
      <c r="E231" s="181"/>
      <c r="F231" s="181"/>
      <c r="G231" s="192">
        <f>E231+F231</f>
        <v>0</v>
      </c>
      <c r="H231" s="24"/>
      <c r="I231" s="225"/>
      <c r="J231" s="186"/>
    </row>
    <row r="232" spans="1:11" s="187" customFormat="1" x14ac:dyDescent="0.25">
      <c r="A232" s="184"/>
      <c r="B232" s="190"/>
      <c r="C232" s="193" t="s">
        <v>454</v>
      </c>
      <c r="D232" s="181"/>
      <c r="E232" s="181"/>
      <c r="F232" s="181"/>
      <c r="G232" s="192">
        <f t="shared" ref="G232:G239" si="92">E232+F232</f>
        <v>0</v>
      </c>
      <c r="H232" s="24"/>
      <c r="I232" s="225"/>
      <c r="J232" s="186"/>
    </row>
    <row r="233" spans="1:11" s="187" customFormat="1" x14ac:dyDescent="0.25">
      <c r="A233" s="184"/>
      <c r="B233" s="190"/>
      <c r="C233" s="193" t="s">
        <v>455</v>
      </c>
      <c r="D233" s="181"/>
      <c r="E233" s="181"/>
      <c r="F233" s="181"/>
      <c r="G233" s="192">
        <f t="shared" si="92"/>
        <v>0</v>
      </c>
      <c r="H233" s="24"/>
      <c r="I233" s="225"/>
      <c r="J233" s="186"/>
    </row>
    <row r="234" spans="1:11" s="187" customFormat="1" x14ac:dyDescent="0.25">
      <c r="A234" s="184"/>
      <c r="B234" s="190"/>
      <c r="C234" s="193" t="s">
        <v>456</v>
      </c>
      <c r="D234" s="181"/>
      <c r="E234" s="181"/>
      <c r="F234" s="181">
        <v>3708530400</v>
      </c>
      <c r="G234" s="192">
        <f t="shared" si="92"/>
        <v>3708530400</v>
      </c>
      <c r="H234" s="24"/>
      <c r="I234" s="225"/>
      <c r="J234" s="186"/>
    </row>
    <row r="235" spans="1:11" s="187" customFormat="1" x14ac:dyDescent="0.25">
      <c r="A235" s="184"/>
      <c r="B235" s="190"/>
      <c r="C235" s="193" t="s">
        <v>457</v>
      </c>
      <c r="D235" s="181"/>
      <c r="E235" s="181"/>
      <c r="F235" s="181"/>
      <c r="G235" s="192">
        <f t="shared" si="92"/>
        <v>0</v>
      </c>
      <c r="H235" s="24"/>
      <c r="I235" s="225"/>
      <c r="J235" s="186"/>
    </row>
    <row r="236" spans="1:11" s="187" customFormat="1" x14ac:dyDescent="0.25">
      <c r="A236" s="184"/>
      <c r="B236" s="190"/>
      <c r="C236" s="193" t="s">
        <v>458</v>
      </c>
      <c r="D236" s="181"/>
      <c r="E236" s="181"/>
      <c r="F236" s="181"/>
      <c r="G236" s="192">
        <f t="shared" si="92"/>
        <v>0</v>
      </c>
      <c r="H236" s="24"/>
      <c r="I236" s="225"/>
      <c r="J236" s="186"/>
    </row>
    <row r="237" spans="1:11" s="187" customFormat="1" x14ac:dyDescent="0.25">
      <c r="A237" s="184"/>
      <c r="B237" s="190"/>
      <c r="C237" s="193" t="s">
        <v>459</v>
      </c>
      <c r="D237" s="181"/>
      <c r="E237" s="181"/>
      <c r="F237" s="181"/>
      <c r="G237" s="192">
        <f t="shared" si="92"/>
        <v>0</v>
      </c>
      <c r="H237" s="24"/>
      <c r="I237" s="225"/>
      <c r="J237" s="186"/>
    </row>
    <row r="238" spans="1:11" s="187" customFormat="1" x14ac:dyDescent="0.25">
      <c r="A238" s="184"/>
      <c r="B238" s="190"/>
      <c r="C238" s="193" t="s">
        <v>460</v>
      </c>
      <c r="D238" s="181"/>
      <c r="E238" s="181"/>
      <c r="F238" s="181">
        <v>123617600</v>
      </c>
      <c r="G238" s="192">
        <f t="shared" si="92"/>
        <v>123617600</v>
      </c>
      <c r="H238" s="24"/>
      <c r="I238" s="225"/>
      <c r="J238" s="186"/>
    </row>
    <row r="239" spans="1:11" s="187" customFormat="1" x14ac:dyDescent="0.25">
      <c r="A239" s="184"/>
      <c r="B239" s="190"/>
      <c r="C239" s="193" t="s">
        <v>461</v>
      </c>
      <c r="D239" s="181"/>
      <c r="E239" s="181"/>
      <c r="F239" s="181"/>
      <c r="G239" s="192">
        <f t="shared" si="92"/>
        <v>0</v>
      </c>
      <c r="H239" s="24"/>
      <c r="I239" s="225"/>
      <c r="J239" s="186"/>
    </row>
    <row r="240" spans="1:11" s="187" customFormat="1" x14ac:dyDescent="0.25">
      <c r="A240" s="184"/>
      <c r="B240" s="190"/>
      <c r="C240" s="35" t="s">
        <v>519</v>
      </c>
      <c r="D240" s="196">
        <f>SUM(D241:D258)</f>
        <v>0</v>
      </c>
      <c r="E240" s="196">
        <f>'Realisasi Februari'!G240</f>
        <v>0</v>
      </c>
      <c r="F240" s="196">
        <f t="shared" ref="F240:G240" si="93">SUM(F241:F258)</f>
        <v>0</v>
      </c>
      <c r="G240" s="196">
        <f t="shared" si="93"/>
        <v>0</v>
      </c>
      <c r="H240" s="236" t="e">
        <f t="shared" ref="H240:H258" si="94">G240/D240</f>
        <v>#DIV/0!</v>
      </c>
      <c r="I240" s="225"/>
      <c r="J240" s="186"/>
    </row>
    <row r="241" spans="1:10" s="187" customFormat="1" x14ac:dyDescent="0.25">
      <c r="A241" s="184"/>
      <c r="B241" s="190"/>
      <c r="C241" s="193" t="s">
        <v>521</v>
      </c>
      <c r="D241" s="181"/>
      <c r="E241" s="181"/>
      <c r="F241" s="181"/>
      <c r="G241" s="192">
        <f>E241+F241</f>
        <v>0</v>
      </c>
      <c r="H241" s="24" t="e">
        <f t="shared" si="94"/>
        <v>#DIV/0!</v>
      </c>
      <c r="I241" s="225"/>
      <c r="J241" s="186"/>
    </row>
    <row r="242" spans="1:10" s="187" customFormat="1" x14ac:dyDescent="0.25">
      <c r="A242" s="184"/>
      <c r="B242" s="190"/>
      <c r="C242" s="193" t="s">
        <v>520</v>
      </c>
      <c r="D242" s="181"/>
      <c r="E242" s="181"/>
      <c r="F242" s="181"/>
      <c r="G242" s="192">
        <f t="shared" ref="G242:G258" si="95">E242+F242</f>
        <v>0</v>
      </c>
      <c r="H242" s="24" t="e">
        <f t="shared" si="94"/>
        <v>#DIV/0!</v>
      </c>
      <c r="I242" s="225"/>
      <c r="J242" s="186"/>
    </row>
    <row r="243" spans="1:10" s="187" customFormat="1" x14ac:dyDescent="0.25">
      <c r="A243" s="184"/>
      <c r="B243" s="190"/>
      <c r="C243" s="193" t="s">
        <v>522</v>
      </c>
      <c r="D243" s="181"/>
      <c r="E243" s="181"/>
      <c r="F243" s="181"/>
      <c r="G243" s="192">
        <f t="shared" si="95"/>
        <v>0</v>
      </c>
      <c r="H243" s="24" t="e">
        <f t="shared" si="94"/>
        <v>#DIV/0!</v>
      </c>
      <c r="I243" s="225"/>
      <c r="J243" s="186"/>
    </row>
    <row r="244" spans="1:10" s="187" customFormat="1" x14ac:dyDescent="0.25">
      <c r="A244" s="184"/>
      <c r="B244" s="190"/>
      <c r="C244" s="193" t="s">
        <v>523</v>
      </c>
      <c r="D244" s="181"/>
      <c r="E244" s="181"/>
      <c r="F244" s="181"/>
      <c r="G244" s="192">
        <f t="shared" si="95"/>
        <v>0</v>
      </c>
      <c r="H244" s="24" t="e">
        <f t="shared" si="94"/>
        <v>#DIV/0!</v>
      </c>
      <c r="I244" s="225"/>
      <c r="J244" s="186"/>
    </row>
    <row r="245" spans="1:10" s="187" customFormat="1" x14ac:dyDescent="0.25">
      <c r="A245" s="184"/>
      <c r="B245" s="190"/>
      <c r="C245" s="193" t="s">
        <v>524</v>
      </c>
      <c r="D245" s="181"/>
      <c r="E245" s="181"/>
      <c r="F245" s="181"/>
      <c r="G245" s="192">
        <f t="shared" si="95"/>
        <v>0</v>
      </c>
      <c r="H245" s="24" t="e">
        <f t="shared" si="94"/>
        <v>#DIV/0!</v>
      </c>
      <c r="I245" s="225"/>
      <c r="J245" s="186"/>
    </row>
    <row r="246" spans="1:10" s="187" customFormat="1" x14ac:dyDescent="0.25">
      <c r="A246" s="184"/>
      <c r="B246" s="190"/>
      <c r="C246" s="193" t="s">
        <v>525</v>
      </c>
      <c r="D246" s="181"/>
      <c r="E246" s="181"/>
      <c r="F246" s="181"/>
      <c r="G246" s="192">
        <f t="shared" si="95"/>
        <v>0</v>
      </c>
      <c r="H246" s="24" t="e">
        <f t="shared" si="94"/>
        <v>#DIV/0!</v>
      </c>
      <c r="I246" s="225"/>
      <c r="J246" s="186"/>
    </row>
    <row r="247" spans="1:10" s="187" customFormat="1" x14ac:dyDescent="0.25">
      <c r="A247" s="184"/>
      <c r="B247" s="190"/>
      <c r="C247" s="193" t="s">
        <v>526</v>
      </c>
      <c r="D247" s="181"/>
      <c r="E247" s="181"/>
      <c r="F247" s="181"/>
      <c r="G247" s="192">
        <f t="shared" si="95"/>
        <v>0</v>
      </c>
      <c r="H247" s="24" t="e">
        <f t="shared" si="94"/>
        <v>#DIV/0!</v>
      </c>
      <c r="I247" s="225"/>
      <c r="J247" s="186"/>
    </row>
    <row r="248" spans="1:10" s="187" customFormat="1" x14ac:dyDescent="0.25">
      <c r="A248" s="184"/>
      <c r="B248" s="190"/>
      <c r="C248" s="193" t="s">
        <v>527</v>
      </c>
      <c r="D248" s="181"/>
      <c r="E248" s="181"/>
      <c r="F248" s="181"/>
      <c r="G248" s="192">
        <f t="shared" si="95"/>
        <v>0</v>
      </c>
      <c r="H248" s="24" t="e">
        <f t="shared" si="94"/>
        <v>#DIV/0!</v>
      </c>
      <c r="I248" s="225"/>
      <c r="J248" s="186"/>
    </row>
    <row r="249" spans="1:10" s="187" customFormat="1" x14ac:dyDescent="0.25">
      <c r="A249" s="184"/>
      <c r="B249" s="190"/>
      <c r="C249" s="193" t="s">
        <v>528</v>
      </c>
      <c r="D249" s="181"/>
      <c r="E249" s="181"/>
      <c r="F249" s="181"/>
      <c r="G249" s="192">
        <f t="shared" si="95"/>
        <v>0</v>
      </c>
      <c r="H249" s="24" t="e">
        <f t="shared" si="94"/>
        <v>#DIV/0!</v>
      </c>
      <c r="I249" s="225"/>
      <c r="J249" s="186"/>
    </row>
    <row r="250" spans="1:10" s="187" customFormat="1" x14ac:dyDescent="0.25">
      <c r="A250" s="184"/>
      <c r="B250" s="190"/>
      <c r="C250" s="193" t="s">
        <v>567</v>
      </c>
      <c r="D250" s="181"/>
      <c r="E250" s="181"/>
      <c r="F250" s="181"/>
      <c r="G250" s="192">
        <f t="shared" si="95"/>
        <v>0</v>
      </c>
      <c r="H250" s="24" t="e">
        <f t="shared" si="94"/>
        <v>#DIV/0!</v>
      </c>
      <c r="I250" s="225"/>
      <c r="J250" s="186"/>
    </row>
    <row r="251" spans="1:10" s="187" customFormat="1" x14ac:dyDescent="0.25">
      <c r="A251" s="184"/>
      <c r="B251" s="190"/>
      <c r="C251" s="193" t="s">
        <v>568</v>
      </c>
      <c r="D251" s="181"/>
      <c r="E251" s="181"/>
      <c r="F251" s="181"/>
      <c r="G251" s="192">
        <f t="shared" si="95"/>
        <v>0</v>
      </c>
      <c r="H251" s="24" t="e">
        <f t="shared" si="94"/>
        <v>#DIV/0!</v>
      </c>
      <c r="I251" s="225"/>
      <c r="J251" s="186"/>
    </row>
    <row r="252" spans="1:10" s="187" customFormat="1" x14ac:dyDescent="0.25">
      <c r="A252" s="184"/>
      <c r="B252" s="190"/>
      <c r="C252" s="193" t="s">
        <v>569</v>
      </c>
      <c r="D252" s="181"/>
      <c r="E252" s="181"/>
      <c r="F252" s="181"/>
      <c r="G252" s="192">
        <f t="shared" si="95"/>
        <v>0</v>
      </c>
      <c r="H252" s="24" t="e">
        <f t="shared" si="94"/>
        <v>#DIV/0!</v>
      </c>
      <c r="I252" s="225"/>
      <c r="J252" s="186"/>
    </row>
    <row r="253" spans="1:10" s="187" customFormat="1" x14ac:dyDescent="0.25">
      <c r="A253" s="184"/>
      <c r="B253" s="190"/>
      <c r="C253" s="193" t="s">
        <v>570</v>
      </c>
      <c r="D253" s="181"/>
      <c r="E253" s="181"/>
      <c r="F253" s="181"/>
      <c r="G253" s="192">
        <f t="shared" si="95"/>
        <v>0</v>
      </c>
      <c r="H253" s="24" t="e">
        <f t="shared" si="94"/>
        <v>#DIV/0!</v>
      </c>
      <c r="I253" s="225"/>
      <c r="J253" s="186"/>
    </row>
    <row r="254" spans="1:10" s="187" customFormat="1" x14ac:dyDescent="0.25">
      <c r="A254" s="184"/>
      <c r="B254" s="190"/>
      <c r="C254" s="193" t="s">
        <v>571</v>
      </c>
      <c r="D254" s="181"/>
      <c r="E254" s="181"/>
      <c r="F254" s="181"/>
      <c r="G254" s="192">
        <f t="shared" si="95"/>
        <v>0</v>
      </c>
      <c r="H254" s="24" t="e">
        <f t="shared" si="94"/>
        <v>#DIV/0!</v>
      </c>
      <c r="I254" s="225"/>
      <c r="J254" s="186"/>
    </row>
    <row r="255" spans="1:10" s="187" customFormat="1" x14ac:dyDescent="0.25">
      <c r="A255" s="184"/>
      <c r="B255" s="190"/>
      <c r="C255" s="193" t="s">
        <v>572</v>
      </c>
      <c r="D255" s="181"/>
      <c r="E255" s="181"/>
      <c r="F255" s="181"/>
      <c r="G255" s="192">
        <f t="shared" si="95"/>
        <v>0</v>
      </c>
      <c r="H255" s="24" t="e">
        <f t="shared" si="94"/>
        <v>#DIV/0!</v>
      </c>
      <c r="I255" s="225"/>
      <c r="J255" s="186"/>
    </row>
    <row r="256" spans="1:10" s="187" customFormat="1" x14ac:dyDescent="0.25">
      <c r="A256" s="184"/>
      <c r="B256" s="190"/>
      <c r="C256" s="193" t="s">
        <v>573</v>
      </c>
      <c r="D256" s="181"/>
      <c r="E256" s="181"/>
      <c r="F256" s="181"/>
      <c r="G256" s="192">
        <f t="shared" si="95"/>
        <v>0</v>
      </c>
      <c r="H256" s="24" t="e">
        <f t="shared" si="94"/>
        <v>#DIV/0!</v>
      </c>
      <c r="I256" s="225"/>
      <c r="J256" s="186"/>
    </row>
    <row r="257" spans="1:10" s="187" customFormat="1" x14ac:dyDescent="0.25">
      <c r="A257" s="184"/>
      <c r="B257" s="190"/>
      <c r="C257" s="193" t="s">
        <v>574</v>
      </c>
      <c r="D257" s="181"/>
      <c r="E257" s="181"/>
      <c r="F257" s="181"/>
      <c r="G257" s="192">
        <f t="shared" si="95"/>
        <v>0</v>
      </c>
      <c r="H257" s="24" t="e">
        <f t="shared" si="94"/>
        <v>#DIV/0!</v>
      </c>
      <c r="I257" s="225"/>
      <c r="J257" s="186"/>
    </row>
    <row r="258" spans="1:10" s="187" customFormat="1" x14ac:dyDescent="0.25">
      <c r="A258" s="184"/>
      <c r="B258" s="190"/>
      <c r="C258" s="193" t="s">
        <v>575</v>
      </c>
      <c r="D258" s="181"/>
      <c r="E258" s="181"/>
      <c r="F258" s="181"/>
      <c r="G258" s="192">
        <f t="shared" si="95"/>
        <v>0</v>
      </c>
      <c r="H258" s="24" t="e">
        <f t="shared" si="94"/>
        <v>#DIV/0!</v>
      </c>
      <c r="I258" s="225"/>
      <c r="J258" s="186"/>
    </row>
    <row r="259" spans="1:10" s="187" customFormat="1" x14ac:dyDescent="0.25">
      <c r="A259" s="184"/>
      <c r="B259" s="190"/>
      <c r="C259" s="183"/>
      <c r="D259" s="181"/>
      <c r="E259" s="181"/>
      <c r="F259" s="181"/>
      <c r="G259" s="192"/>
      <c r="H259" s="24"/>
      <c r="I259" s="225"/>
      <c r="J259" s="186"/>
    </row>
    <row r="260" spans="1:10" s="187" customFormat="1" x14ac:dyDescent="0.25">
      <c r="A260" s="184" t="s">
        <v>407</v>
      </c>
      <c r="B260" s="189" t="s">
        <v>357</v>
      </c>
      <c r="C260" s="185" t="s">
        <v>358</v>
      </c>
      <c r="D260" s="191">
        <v>26768038000</v>
      </c>
      <c r="E260" s="191"/>
      <c r="F260" s="191">
        <f>SUM(F261:F262)</f>
        <v>5131406800</v>
      </c>
      <c r="G260" s="191">
        <f>SUM(G261:G262)</f>
        <v>5131406800</v>
      </c>
      <c r="H260" s="236">
        <f>G260/D260</f>
        <v>0.19169902553186752</v>
      </c>
      <c r="I260" s="225" t="s">
        <v>167</v>
      </c>
      <c r="J260" s="186"/>
    </row>
    <row r="261" spans="1:10" s="187" customFormat="1" x14ac:dyDescent="0.25">
      <c r="A261" s="184"/>
      <c r="B261" s="190"/>
      <c r="C261" s="193" t="s">
        <v>650</v>
      </c>
      <c r="D261" s="192"/>
      <c r="E261" s="192">
        <f>'Realisasi Februari'!G261</f>
        <v>0</v>
      </c>
      <c r="F261" s="192">
        <v>5131406800</v>
      </c>
      <c r="G261" s="192">
        <f>E261+F261</f>
        <v>5131406800</v>
      </c>
      <c r="H261" s="24" t="e">
        <f>G261/D261</f>
        <v>#DIV/0!</v>
      </c>
      <c r="I261" s="225"/>
      <c r="J261" s="186"/>
    </row>
    <row r="262" spans="1:10" s="187" customFormat="1" x14ac:dyDescent="0.25">
      <c r="A262" s="184"/>
      <c r="B262" s="190"/>
      <c r="C262" s="193" t="s">
        <v>651</v>
      </c>
      <c r="D262" s="192"/>
      <c r="E262" s="192">
        <f>'Realisasi Februari'!G262</f>
        <v>0</v>
      </c>
      <c r="F262" s="192"/>
      <c r="G262" s="192">
        <f t="shared" ref="G262" si="96">E262+F262</f>
        <v>0</v>
      </c>
      <c r="H262" s="24" t="e">
        <f>G262/D262</f>
        <v>#DIV/0!</v>
      </c>
      <c r="I262" s="225"/>
      <c r="J262" s="186"/>
    </row>
    <row r="263" spans="1:10" s="187" customFormat="1" x14ac:dyDescent="0.25">
      <c r="A263" s="184"/>
      <c r="B263" s="190"/>
      <c r="C263" s="183"/>
      <c r="D263" s="192"/>
      <c r="E263" s="192"/>
      <c r="F263" s="192"/>
      <c r="G263" s="192"/>
      <c r="H263" s="24"/>
      <c r="I263" s="225"/>
      <c r="J263" s="186"/>
    </row>
    <row r="264" spans="1:10" s="187" customFormat="1" x14ac:dyDescent="0.25">
      <c r="A264" s="184" t="s">
        <v>408</v>
      </c>
      <c r="B264" s="189" t="s">
        <v>359</v>
      </c>
      <c r="C264" s="185" t="s">
        <v>360</v>
      </c>
      <c r="D264" s="191">
        <f>SUM(D265:D266)</f>
        <v>0</v>
      </c>
      <c r="E264" s="191">
        <f>SUM(E265:E266)</f>
        <v>0</v>
      </c>
      <c r="F264" s="191">
        <f>SUM(F265:F266)</f>
        <v>222200800</v>
      </c>
      <c r="G264" s="191">
        <f>SUM(G265:G266)</f>
        <v>222200800</v>
      </c>
      <c r="H264" s="236" t="e">
        <f>G264/D264</f>
        <v>#DIV/0!</v>
      </c>
      <c r="I264" s="225" t="s">
        <v>167</v>
      </c>
      <c r="J264" s="186"/>
    </row>
    <row r="265" spans="1:10" s="187" customFormat="1" x14ac:dyDescent="0.25">
      <c r="A265" s="184"/>
      <c r="B265" s="190"/>
      <c r="C265" s="193" t="s">
        <v>652</v>
      </c>
      <c r="D265" s="192"/>
      <c r="E265" s="192">
        <f>'Realisasi Februari'!G265</f>
        <v>0</v>
      </c>
      <c r="F265" s="192">
        <v>222200800</v>
      </c>
      <c r="G265" s="192">
        <f>E265+F265</f>
        <v>222200800</v>
      </c>
      <c r="H265" s="24" t="e">
        <f>G265/D265</f>
        <v>#DIV/0!</v>
      </c>
      <c r="I265" s="225"/>
      <c r="J265" s="186"/>
    </row>
    <row r="266" spans="1:10" s="187" customFormat="1" x14ac:dyDescent="0.25">
      <c r="A266" s="184"/>
      <c r="B266" s="190"/>
      <c r="C266" s="193" t="s">
        <v>653</v>
      </c>
      <c r="D266" s="192"/>
      <c r="E266" s="192">
        <f>'Realisasi Februari'!G266</f>
        <v>0</v>
      </c>
      <c r="F266" s="192"/>
      <c r="G266" s="192">
        <f t="shared" ref="G266" si="97">E266+F266</f>
        <v>0</v>
      </c>
      <c r="H266" s="24" t="e">
        <f>G266/D266</f>
        <v>#DIV/0!</v>
      </c>
      <c r="I266" s="225"/>
      <c r="J266" s="186"/>
    </row>
    <row r="267" spans="1:10" s="187" customFormat="1" x14ac:dyDescent="0.25">
      <c r="A267" s="184"/>
      <c r="B267" s="190"/>
      <c r="C267" s="183"/>
      <c r="D267" s="192"/>
      <c r="E267" s="192"/>
      <c r="F267" s="192"/>
      <c r="G267" s="192"/>
      <c r="H267" s="24"/>
      <c r="I267" s="225"/>
      <c r="J267" s="186"/>
    </row>
    <row r="268" spans="1:10" s="187" customFormat="1" x14ac:dyDescent="0.25">
      <c r="A268" s="184" t="s">
        <v>409</v>
      </c>
      <c r="B268" s="189" t="s">
        <v>405</v>
      </c>
      <c r="C268" s="185" t="s">
        <v>361</v>
      </c>
      <c r="D268" s="191">
        <v>90682864000</v>
      </c>
      <c r="E268" s="191">
        <f>E269</f>
        <v>17367192400</v>
      </c>
      <c r="F268" s="191">
        <f>SUM(F269:F270)</f>
        <v>0</v>
      </c>
      <c r="G268" s="191">
        <f>SUM(G269:G270)</f>
        <v>17367192400</v>
      </c>
      <c r="H268" s="236">
        <f>G268/D268</f>
        <v>0.19151570245950766</v>
      </c>
      <c r="I268" s="225" t="s">
        <v>167</v>
      </c>
      <c r="J268" s="186"/>
    </row>
    <row r="269" spans="1:10" s="187" customFormat="1" x14ac:dyDescent="0.25">
      <c r="A269" s="184"/>
      <c r="B269" s="190"/>
      <c r="C269" s="193" t="s">
        <v>654</v>
      </c>
      <c r="D269" s="192"/>
      <c r="E269" s="192">
        <f>'Realisasi Februari'!G269</f>
        <v>17367192400</v>
      </c>
      <c r="F269" s="192"/>
      <c r="G269" s="192">
        <f>E269+F269</f>
        <v>17367192400</v>
      </c>
      <c r="H269" s="24" t="e">
        <f>G269/D269</f>
        <v>#DIV/0!</v>
      </c>
      <c r="I269" s="225"/>
      <c r="J269" s="186"/>
    </row>
    <row r="270" spans="1:10" s="187" customFormat="1" x14ac:dyDescent="0.25">
      <c r="A270" s="184"/>
      <c r="B270" s="190"/>
      <c r="C270" s="193" t="s">
        <v>655</v>
      </c>
      <c r="D270" s="192"/>
      <c r="E270" s="192">
        <f>'Realisasi Februari'!G270</f>
        <v>0</v>
      </c>
      <c r="F270" s="192"/>
      <c r="G270" s="192">
        <f t="shared" ref="G270" si="98">E270+F270</f>
        <v>0</v>
      </c>
      <c r="H270" s="24" t="e">
        <f>G270/D270</f>
        <v>#DIV/0!</v>
      </c>
      <c r="I270" s="225"/>
      <c r="J270" s="186"/>
    </row>
    <row r="271" spans="1:10" s="187" customFormat="1" x14ac:dyDescent="0.25">
      <c r="A271" s="184"/>
      <c r="B271" s="190"/>
      <c r="C271" s="193"/>
      <c r="D271" s="192"/>
      <c r="E271" s="192"/>
      <c r="F271" s="192"/>
      <c r="G271" s="192"/>
      <c r="H271" s="24"/>
      <c r="I271" s="225"/>
      <c r="J271" s="186"/>
    </row>
    <row r="272" spans="1:10" s="187" customFormat="1" x14ac:dyDescent="0.25">
      <c r="A272" s="188" t="s">
        <v>410</v>
      </c>
      <c r="B272" s="189" t="s">
        <v>462</v>
      </c>
      <c r="C272" s="185" t="s">
        <v>463</v>
      </c>
      <c r="D272" s="191">
        <f>SUM(D273:D274)</f>
        <v>0</v>
      </c>
      <c r="E272" s="191">
        <f>SUM(E273:E274)</f>
        <v>769380400</v>
      </c>
      <c r="F272" s="191">
        <f t="shared" ref="F272:G272" si="99">SUM(F273:F274)</f>
        <v>0</v>
      </c>
      <c r="G272" s="191">
        <f t="shared" si="99"/>
        <v>769380400</v>
      </c>
      <c r="H272" s="236" t="e">
        <f>G272/D272</f>
        <v>#DIV/0!</v>
      </c>
      <c r="I272" s="225"/>
      <c r="J272" s="186"/>
    </row>
    <row r="273" spans="1:10" s="187" customFormat="1" x14ac:dyDescent="0.25">
      <c r="A273" s="188"/>
      <c r="B273" s="190"/>
      <c r="C273" s="193" t="s">
        <v>656</v>
      </c>
      <c r="D273" s="192">
        <v>0</v>
      </c>
      <c r="E273" s="192">
        <f>'Realisasi Februari'!G273</f>
        <v>769380400</v>
      </c>
      <c r="F273" s="192"/>
      <c r="G273" s="192">
        <f>E273+F273</f>
        <v>769380400</v>
      </c>
      <c r="H273" s="24" t="e">
        <f>G273/D273</f>
        <v>#DIV/0!</v>
      </c>
      <c r="I273" s="225"/>
      <c r="J273" s="186"/>
    </row>
    <row r="274" spans="1:10" s="187" customFormat="1" x14ac:dyDescent="0.25">
      <c r="A274" s="188"/>
      <c r="B274" s="190"/>
      <c r="C274" s="193" t="s">
        <v>657</v>
      </c>
      <c r="D274" s="192"/>
      <c r="E274" s="192">
        <f>'Realisasi Februari'!G274</f>
        <v>0</v>
      </c>
      <c r="F274" s="192"/>
      <c r="G274" s="192">
        <f>E274+F274</f>
        <v>0</v>
      </c>
      <c r="H274" s="24" t="e">
        <f>G274/D274</f>
        <v>#DIV/0!</v>
      </c>
      <c r="I274" s="225"/>
      <c r="J274" s="186"/>
    </row>
    <row r="275" spans="1:10" s="187" customFormat="1" x14ac:dyDescent="0.25">
      <c r="A275" s="188"/>
      <c r="B275" s="190"/>
      <c r="C275" s="193"/>
      <c r="D275" s="192"/>
      <c r="E275" s="192"/>
      <c r="F275" s="192"/>
      <c r="G275" s="192"/>
      <c r="H275" s="24"/>
      <c r="I275" s="225"/>
      <c r="J275" s="186"/>
    </row>
    <row r="276" spans="1:10" s="187" customFormat="1" x14ac:dyDescent="0.25">
      <c r="A276" s="188" t="s">
        <v>411</v>
      </c>
      <c r="B276" s="189" t="s">
        <v>362</v>
      </c>
      <c r="C276" s="185" t="s">
        <v>363</v>
      </c>
      <c r="D276" s="191">
        <v>1503616000</v>
      </c>
      <c r="E276" s="191">
        <f>E277</f>
        <v>300723200</v>
      </c>
      <c r="F276" s="191">
        <f>F277</f>
        <v>0</v>
      </c>
      <c r="G276" s="191">
        <f t="shared" ref="G276" si="100">SUM(G277:G278)</f>
        <v>300723200</v>
      </c>
      <c r="H276" s="236">
        <f>G276/D276</f>
        <v>0.2</v>
      </c>
      <c r="I276" s="225" t="s">
        <v>167</v>
      </c>
      <c r="J276" s="186"/>
    </row>
    <row r="277" spans="1:10" s="187" customFormat="1" x14ac:dyDescent="0.25">
      <c r="A277" s="188"/>
      <c r="B277" s="190"/>
      <c r="C277" s="193" t="s">
        <v>658</v>
      </c>
      <c r="D277" s="192"/>
      <c r="E277" s="192">
        <f>'Realisasi Februari'!G277</f>
        <v>300723200</v>
      </c>
      <c r="F277" s="192"/>
      <c r="G277" s="192">
        <f>E277+F277</f>
        <v>300723200</v>
      </c>
      <c r="H277" s="24" t="e">
        <f>G277/D277</f>
        <v>#DIV/0!</v>
      </c>
      <c r="I277" s="225"/>
      <c r="J277" s="186"/>
    </row>
    <row r="278" spans="1:10" s="187" customFormat="1" x14ac:dyDescent="0.25">
      <c r="A278" s="188"/>
      <c r="B278" s="190"/>
      <c r="C278" s="193" t="s">
        <v>659</v>
      </c>
      <c r="D278" s="192"/>
      <c r="E278" s="192">
        <f>'Realisasi Februari'!G278</f>
        <v>0</v>
      </c>
      <c r="F278" s="192"/>
      <c r="G278" s="192">
        <f>E278+F278</f>
        <v>0</v>
      </c>
      <c r="H278" s="24" t="e">
        <f>G278/D278</f>
        <v>#DIV/0!</v>
      </c>
      <c r="I278" s="225"/>
      <c r="J278" s="186"/>
    </row>
    <row r="279" spans="1:10" s="187" customFormat="1" x14ac:dyDescent="0.25">
      <c r="A279" s="188"/>
      <c r="B279" s="190"/>
      <c r="C279" s="193"/>
      <c r="D279" s="192"/>
      <c r="E279" s="192"/>
      <c r="F279" s="192"/>
      <c r="G279" s="192">
        <f t="shared" ref="G279" si="101">F279</f>
        <v>0</v>
      </c>
      <c r="H279" s="24"/>
      <c r="I279" s="225"/>
      <c r="J279" s="186"/>
    </row>
    <row r="280" spans="1:10" s="187" customFormat="1" x14ac:dyDescent="0.25">
      <c r="A280" s="188" t="s">
        <v>412</v>
      </c>
      <c r="B280" s="189" t="s">
        <v>364</v>
      </c>
      <c r="C280" s="185" t="s">
        <v>365</v>
      </c>
      <c r="D280" s="191">
        <v>8397488000</v>
      </c>
      <c r="E280" s="191"/>
      <c r="F280" s="191">
        <f t="shared" ref="F280:G280" si="102">F281+F282</f>
        <v>1259623200</v>
      </c>
      <c r="G280" s="191">
        <f t="shared" si="102"/>
        <v>1259623200</v>
      </c>
      <c r="H280" s="236">
        <f>G280/D280</f>
        <v>0.15</v>
      </c>
      <c r="I280" s="225" t="s">
        <v>167</v>
      </c>
      <c r="J280" s="186"/>
    </row>
    <row r="281" spans="1:10" s="187" customFormat="1" x14ac:dyDescent="0.25">
      <c r="A281" s="188"/>
      <c r="B281" s="190"/>
      <c r="C281" s="193" t="s">
        <v>660</v>
      </c>
      <c r="D281" s="192"/>
      <c r="E281" s="192">
        <f>'Realisasi Februari'!G281</f>
        <v>0</v>
      </c>
      <c r="F281" s="192">
        <v>1259623200</v>
      </c>
      <c r="G281" s="192">
        <f>F281</f>
        <v>1259623200</v>
      </c>
      <c r="H281" s="24" t="e">
        <f>G281/D281</f>
        <v>#DIV/0!</v>
      </c>
      <c r="I281" s="225"/>
      <c r="J281" s="186"/>
    </row>
    <row r="282" spans="1:10" s="187" customFormat="1" x14ac:dyDescent="0.25">
      <c r="A282" s="188"/>
      <c r="B282" s="190"/>
      <c r="C282" s="35" t="s">
        <v>529</v>
      </c>
      <c r="D282" s="191">
        <f>SUM(D283:D283)</f>
        <v>0</v>
      </c>
      <c r="E282" s="191"/>
      <c r="F282" s="191">
        <f>SUM(F283:F283)</f>
        <v>0</v>
      </c>
      <c r="G282" s="191">
        <f>SUM(G283:G283)</f>
        <v>0</v>
      </c>
      <c r="H282" s="236" t="e">
        <f>G282/D282</f>
        <v>#DIV/0!</v>
      </c>
      <c r="I282" s="225"/>
      <c r="J282" s="186"/>
    </row>
    <row r="283" spans="1:10" s="187" customFormat="1" x14ac:dyDescent="0.25">
      <c r="A283" s="188"/>
      <c r="B283" s="190"/>
      <c r="C283" s="193" t="s">
        <v>661</v>
      </c>
      <c r="D283" s="192"/>
      <c r="E283" s="192">
        <f>'Realisasi Februari'!G283</f>
        <v>0</v>
      </c>
      <c r="F283" s="192"/>
      <c r="G283" s="192">
        <f>F283</f>
        <v>0</v>
      </c>
      <c r="H283" s="24" t="e">
        <f>G283/D283</f>
        <v>#DIV/0!</v>
      </c>
      <c r="I283" s="225"/>
      <c r="J283" s="186"/>
    </row>
    <row r="284" spans="1:10" s="187" customFormat="1" x14ac:dyDescent="0.25">
      <c r="A284" s="188"/>
      <c r="B284" s="190"/>
      <c r="C284" s="193"/>
      <c r="D284" s="192"/>
      <c r="E284" s="192"/>
      <c r="F284" s="192"/>
      <c r="G284" s="192"/>
      <c r="H284" s="24"/>
      <c r="I284" s="225"/>
      <c r="J284" s="186"/>
    </row>
    <row r="285" spans="1:10" s="187" customFormat="1" hidden="1" x14ac:dyDescent="0.25">
      <c r="A285" s="188" t="s">
        <v>464</v>
      </c>
      <c r="B285" s="189" t="s">
        <v>466</v>
      </c>
      <c r="C285" s="185" t="s">
        <v>467</v>
      </c>
      <c r="D285" s="191">
        <f>SUM(D286)</f>
        <v>0</v>
      </c>
      <c r="E285" s="191"/>
      <c r="F285" s="191">
        <f t="shared" ref="F285:G285" si="103">SUM(F286:F287)</f>
        <v>0</v>
      </c>
      <c r="G285" s="191" t="e">
        <f t="shared" si="103"/>
        <v>#REF!</v>
      </c>
      <c r="H285" s="24"/>
      <c r="I285" s="225"/>
      <c r="J285" s="186"/>
    </row>
    <row r="286" spans="1:10" s="187" customFormat="1" hidden="1" x14ac:dyDescent="0.25">
      <c r="A286" s="188"/>
      <c r="B286" s="190"/>
      <c r="C286" s="193" t="s">
        <v>487</v>
      </c>
      <c r="D286" s="192">
        <v>0</v>
      </c>
      <c r="E286" s="192"/>
      <c r="F286" s="192">
        <v>0</v>
      </c>
      <c r="G286" s="192" t="e">
        <f>#REF!+F286</f>
        <v>#REF!</v>
      </c>
      <c r="H286" s="24"/>
      <c r="I286" s="225"/>
      <c r="J286" s="186"/>
    </row>
    <row r="287" spans="1:10" s="187" customFormat="1" hidden="1" x14ac:dyDescent="0.25">
      <c r="A287" s="188"/>
      <c r="B287" s="190"/>
      <c r="C287" s="193"/>
      <c r="D287" s="192"/>
      <c r="E287" s="192"/>
      <c r="F287" s="192"/>
      <c r="G287" s="192"/>
      <c r="H287" s="24"/>
      <c r="I287" s="225"/>
      <c r="J287" s="186"/>
    </row>
    <row r="288" spans="1:10" s="187" customFormat="1" x14ac:dyDescent="0.25">
      <c r="A288" s="188" t="s">
        <v>465</v>
      </c>
      <c r="B288" s="189" t="s">
        <v>366</v>
      </c>
      <c r="C288" s="185" t="s">
        <v>367</v>
      </c>
      <c r="D288" s="191">
        <v>1918826000</v>
      </c>
      <c r="E288" s="191">
        <f>E289</f>
        <v>287823900</v>
      </c>
      <c r="F288" s="191">
        <f t="shared" ref="F288:G288" si="104">F289+F290</f>
        <v>0</v>
      </c>
      <c r="G288" s="191">
        <f t="shared" si="104"/>
        <v>287823900</v>
      </c>
      <c r="H288" s="236">
        <f>G288/D288</f>
        <v>0.15</v>
      </c>
      <c r="I288" s="225" t="s">
        <v>167</v>
      </c>
      <c r="J288" s="186"/>
    </row>
    <row r="289" spans="1:10" s="187" customFormat="1" x14ac:dyDescent="0.25">
      <c r="A289" s="188"/>
      <c r="B289" s="190"/>
      <c r="C289" s="193" t="s">
        <v>662</v>
      </c>
      <c r="D289" s="192"/>
      <c r="E289" s="192">
        <f>'Realisasi Februari'!G289</f>
        <v>287823900</v>
      </c>
      <c r="F289" s="192"/>
      <c r="G289" s="192">
        <f>E289+F289</f>
        <v>287823900</v>
      </c>
      <c r="H289" s="24" t="e">
        <f>G289/D289</f>
        <v>#DIV/0!</v>
      </c>
      <c r="I289" s="225"/>
      <c r="J289" s="186"/>
    </row>
    <row r="290" spans="1:10" s="187" customFormat="1" x14ac:dyDescent="0.25">
      <c r="A290" s="188"/>
      <c r="B290" s="190"/>
      <c r="C290" s="35" t="s">
        <v>530</v>
      </c>
      <c r="D290" s="191">
        <f>SUM(D291:D291)</f>
        <v>0</v>
      </c>
      <c r="E290" s="191"/>
      <c r="F290" s="191">
        <f>SUM(F291:F291)</f>
        <v>0</v>
      </c>
      <c r="G290" s="191">
        <f>SUM(G291:G291)</f>
        <v>0</v>
      </c>
      <c r="H290" s="236" t="e">
        <f>G290/D290</f>
        <v>#DIV/0!</v>
      </c>
      <c r="I290" s="225"/>
      <c r="J290" s="186"/>
    </row>
    <row r="291" spans="1:10" s="187" customFormat="1" x14ac:dyDescent="0.25">
      <c r="A291" s="188"/>
      <c r="B291" s="190"/>
      <c r="C291" s="193" t="s">
        <v>663</v>
      </c>
      <c r="D291" s="192"/>
      <c r="E291" s="192">
        <f>'Realisasi Februari'!G291</f>
        <v>0</v>
      </c>
      <c r="F291" s="192"/>
      <c r="G291" s="192">
        <f>E291+F291</f>
        <v>0</v>
      </c>
      <c r="H291" s="24" t="e">
        <f>G291/D291</f>
        <v>#DIV/0!</v>
      </c>
      <c r="I291" s="225"/>
      <c r="J291" s="186"/>
    </row>
    <row r="292" spans="1:10" s="176" customFormat="1" x14ac:dyDescent="0.25">
      <c r="A292" s="27"/>
      <c r="B292" s="178"/>
      <c r="C292" s="183"/>
      <c r="D292" s="192"/>
      <c r="E292" s="192"/>
      <c r="F292" s="192"/>
      <c r="G292" s="191"/>
      <c r="H292" s="236"/>
      <c r="I292" s="224"/>
      <c r="J292" s="175"/>
    </row>
    <row r="293" spans="1:10" s="176" customFormat="1" x14ac:dyDescent="0.25">
      <c r="A293" s="138" t="s">
        <v>169</v>
      </c>
      <c r="B293" s="139" t="s">
        <v>368</v>
      </c>
      <c r="C293" s="140" t="s">
        <v>369</v>
      </c>
      <c r="D293" s="142">
        <v>429554051000</v>
      </c>
      <c r="E293" s="142">
        <f>'Realisasi Februari'!G293</f>
        <v>106404710000</v>
      </c>
      <c r="F293" s="142">
        <v>35796170000</v>
      </c>
      <c r="G293" s="141">
        <f>E293+F293</f>
        <v>142200880000</v>
      </c>
      <c r="H293" s="240">
        <f>G293/D293</f>
        <v>0.33104304259023271</v>
      </c>
      <c r="I293" s="225" t="s">
        <v>468</v>
      </c>
      <c r="J293" s="175"/>
    </row>
    <row r="294" spans="1:10" s="176" customFormat="1" x14ac:dyDescent="0.25">
      <c r="A294" s="27"/>
      <c r="B294" s="178"/>
      <c r="C294" s="39"/>
      <c r="D294" s="38"/>
      <c r="E294" s="38"/>
      <c r="F294" s="38"/>
      <c r="G294" s="38"/>
      <c r="H294" s="241"/>
      <c r="I294" s="225"/>
      <c r="J294" s="175"/>
    </row>
    <row r="295" spans="1:10" s="176" customFormat="1" x14ac:dyDescent="0.25">
      <c r="A295" s="138" t="s">
        <v>170</v>
      </c>
      <c r="B295" s="139" t="s">
        <v>370</v>
      </c>
      <c r="C295" s="140" t="s">
        <v>371</v>
      </c>
      <c r="D295" s="141">
        <f>SUM(D297+D348+D325)</f>
        <v>7340205000</v>
      </c>
      <c r="E295" s="141">
        <f t="shared" ref="E295:G295" si="105">SUM(E297+E348+E325)</f>
        <v>0</v>
      </c>
      <c r="F295" s="141">
        <f t="shared" si="105"/>
        <v>0</v>
      </c>
      <c r="G295" s="141">
        <f t="shared" si="105"/>
        <v>0</v>
      </c>
      <c r="H295" s="240">
        <f>G295/D295</f>
        <v>0</v>
      </c>
      <c r="I295" s="225" t="s">
        <v>469</v>
      </c>
      <c r="J295" s="175"/>
    </row>
    <row r="296" spans="1:10" s="176" customFormat="1" x14ac:dyDescent="0.25">
      <c r="A296" s="40"/>
      <c r="B296" s="22"/>
      <c r="C296" s="185"/>
      <c r="D296" s="191"/>
      <c r="E296" s="191"/>
      <c r="F296" s="191"/>
      <c r="G296" s="191"/>
      <c r="H296" s="236"/>
      <c r="I296" s="224"/>
      <c r="J296" s="175"/>
    </row>
    <row r="297" spans="1:10" s="176" customFormat="1" ht="38.25" customHeight="1" x14ac:dyDescent="0.25">
      <c r="A297" s="293"/>
      <c r="B297" s="262" t="s">
        <v>413</v>
      </c>
      <c r="C297" s="41" t="s">
        <v>171</v>
      </c>
      <c r="D297" s="42">
        <f>SUM(D303+D309+D311+D313+D315+D317+D319+D298+D322)</f>
        <v>7340205000</v>
      </c>
      <c r="E297" s="42">
        <f t="shared" ref="E297:F297" si="106">SUM(E303+E309+E311+E313+E315+E317+E319+E298+E322)</f>
        <v>0</v>
      </c>
      <c r="F297" s="42">
        <f t="shared" si="106"/>
        <v>0</v>
      </c>
      <c r="G297" s="42">
        <f>G298+G303+G313+G315+G319+G322</f>
        <v>0</v>
      </c>
      <c r="H297" s="237">
        <f t="shared" ref="H297:H308" si="107">G297/D297</f>
        <v>0</v>
      </c>
      <c r="I297" s="225" t="s">
        <v>470</v>
      </c>
      <c r="J297" s="175"/>
    </row>
    <row r="298" spans="1:10" s="176" customFormat="1" x14ac:dyDescent="0.25">
      <c r="A298" s="40"/>
      <c r="B298" s="43">
        <v>1</v>
      </c>
      <c r="C298" s="185" t="s">
        <v>172</v>
      </c>
      <c r="D298" s="191">
        <f>SUM(D299:D302)</f>
        <v>0</v>
      </c>
      <c r="E298" s="191">
        <f t="shared" ref="E298:G298" si="108">SUM(E299:E302)</f>
        <v>0</v>
      </c>
      <c r="F298" s="191">
        <f t="shared" si="108"/>
        <v>0</v>
      </c>
      <c r="G298" s="191">
        <f t="shared" si="108"/>
        <v>0</v>
      </c>
      <c r="H298" s="236" t="e">
        <f t="shared" si="107"/>
        <v>#DIV/0!</v>
      </c>
      <c r="I298" s="225"/>
      <c r="J298" s="175"/>
    </row>
    <row r="299" spans="1:10" s="176" customFormat="1" x14ac:dyDescent="0.25">
      <c r="A299" s="40"/>
      <c r="B299" s="190" t="s">
        <v>531</v>
      </c>
      <c r="C299" s="193" t="s">
        <v>173</v>
      </c>
      <c r="D299" s="192"/>
      <c r="E299" s="192">
        <f>'Realisasi Februari'!G299</f>
        <v>0</v>
      </c>
      <c r="F299" s="192"/>
      <c r="G299" s="192">
        <f>E299+F299</f>
        <v>0</v>
      </c>
      <c r="H299" s="24" t="e">
        <f t="shared" si="107"/>
        <v>#DIV/0!</v>
      </c>
      <c r="I299" s="225" t="s">
        <v>471</v>
      </c>
      <c r="J299" s="175"/>
    </row>
    <row r="300" spans="1:10" s="176" customFormat="1" x14ac:dyDescent="0.25">
      <c r="A300" s="40"/>
      <c r="B300" s="190" t="s">
        <v>532</v>
      </c>
      <c r="C300" s="193" t="s">
        <v>174</v>
      </c>
      <c r="D300" s="192"/>
      <c r="E300" s="192">
        <f>'Realisasi Februari'!G300</f>
        <v>0</v>
      </c>
      <c r="F300" s="192"/>
      <c r="G300" s="192">
        <f t="shared" ref="G300:G302" si="109">E300+F300</f>
        <v>0</v>
      </c>
      <c r="H300" s="24" t="e">
        <f t="shared" si="107"/>
        <v>#DIV/0!</v>
      </c>
      <c r="I300" s="225" t="s">
        <v>471</v>
      </c>
      <c r="J300" s="175"/>
    </row>
    <row r="301" spans="1:10" s="176" customFormat="1" x14ac:dyDescent="0.25">
      <c r="A301" s="40"/>
      <c r="B301" s="190" t="s">
        <v>533</v>
      </c>
      <c r="C301" s="193" t="s">
        <v>175</v>
      </c>
      <c r="D301" s="192"/>
      <c r="E301" s="192">
        <f>'Realisasi Februari'!G301</f>
        <v>0</v>
      </c>
      <c r="F301" s="192"/>
      <c r="G301" s="192">
        <f t="shared" si="109"/>
        <v>0</v>
      </c>
      <c r="H301" s="24" t="e">
        <f t="shared" si="107"/>
        <v>#DIV/0!</v>
      </c>
      <c r="I301" s="225" t="s">
        <v>471</v>
      </c>
      <c r="J301" s="175"/>
    </row>
    <row r="302" spans="1:10" s="176" customFormat="1" x14ac:dyDescent="0.25">
      <c r="A302" s="40"/>
      <c r="B302" s="190" t="s">
        <v>534</v>
      </c>
      <c r="C302" s="193" t="s">
        <v>176</v>
      </c>
      <c r="D302" s="192"/>
      <c r="E302" s="192">
        <f>'Realisasi Februari'!G302</f>
        <v>0</v>
      </c>
      <c r="F302" s="192"/>
      <c r="G302" s="192">
        <f t="shared" si="109"/>
        <v>0</v>
      </c>
      <c r="H302" s="24" t="e">
        <f t="shared" si="107"/>
        <v>#DIV/0!</v>
      </c>
      <c r="I302" s="225" t="s">
        <v>471</v>
      </c>
      <c r="J302" s="175"/>
    </row>
    <row r="303" spans="1:10" s="176" customFormat="1" x14ac:dyDescent="0.25">
      <c r="A303" s="40"/>
      <c r="B303" s="43">
        <v>2</v>
      </c>
      <c r="C303" s="185" t="s">
        <v>177</v>
      </c>
      <c r="D303" s="191">
        <f>SUM(D304:D308)</f>
        <v>0</v>
      </c>
      <c r="E303" s="191">
        <f t="shared" ref="E303:G303" si="110">SUM(E304:E308)</f>
        <v>0</v>
      </c>
      <c r="F303" s="191">
        <f t="shared" si="110"/>
        <v>0</v>
      </c>
      <c r="G303" s="191">
        <f t="shared" si="110"/>
        <v>0</v>
      </c>
      <c r="H303" s="236" t="e">
        <f t="shared" si="107"/>
        <v>#DIV/0!</v>
      </c>
      <c r="I303" s="225"/>
      <c r="J303" s="175"/>
    </row>
    <row r="304" spans="1:10" s="176" customFormat="1" x14ac:dyDescent="0.25">
      <c r="A304" s="40"/>
      <c r="B304" s="190" t="s">
        <v>535</v>
      </c>
      <c r="C304" s="193" t="s">
        <v>178</v>
      </c>
      <c r="D304" s="192"/>
      <c r="E304" s="192">
        <f>'Realisasi Februari'!G304</f>
        <v>0</v>
      </c>
      <c r="F304" s="192"/>
      <c r="G304" s="192">
        <f>E304+F304</f>
        <v>0</v>
      </c>
      <c r="H304" s="24" t="e">
        <f t="shared" si="107"/>
        <v>#DIV/0!</v>
      </c>
      <c r="I304" s="225" t="s">
        <v>471</v>
      </c>
      <c r="J304" s="175"/>
    </row>
    <row r="305" spans="1:10" s="176" customFormat="1" x14ac:dyDescent="0.25">
      <c r="A305" s="40"/>
      <c r="B305" s="190" t="s">
        <v>536</v>
      </c>
      <c r="C305" s="193" t="s">
        <v>372</v>
      </c>
      <c r="D305" s="192"/>
      <c r="E305" s="192">
        <f>'Realisasi Februari'!G305</f>
        <v>0</v>
      </c>
      <c r="F305" s="192"/>
      <c r="G305" s="192">
        <f t="shared" ref="G305:G316" si="111">E305+F305</f>
        <v>0</v>
      </c>
      <c r="H305" s="24" t="e">
        <f t="shared" si="107"/>
        <v>#DIV/0!</v>
      </c>
      <c r="I305" s="225" t="s">
        <v>471</v>
      </c>
      <c r="J305" s="175"/>
    </row>
    <row r="306" spans="1:10" s="176" customFormat="1" x14ac:dyDescent="0.25">
      <c r="A306" s="40"/>
      <c r="B306" s="190" t="s">
        <v>537</v>
      </c>
      <c r="C306" s="193" t="s">
        <v>179</v>
      </c>
      <c r="D306" s="192"/>
      <c r="E306" s="192">
        <f>'Realisasi Februari'!G306</f>
        <v>0</v>
      </c>
      <c r="F306" s="192"/>
      <c r="G306" s="192">
        <f t="shared" si="111"/>
        <v>0</v>
      </c>
      <c r="H306" s="24" t="e">
        <f t="shared" si="107"/>
        <v>#DIV/0!</v>
      </c>
      <c r="I306" s="225" t="s">
        <v>471</v>
      </c>
      <c r="J306" s="175"/>
    </row>
    <row r="307" spans="1:10" s="176" customFormat="1" x14ac:dyDescent="0.25">
      <c r="A307" s="40"/>
      <c r="B307" s="190" t="s">
        <v>538</v>
      </c>
      <c r="C307" s="193" t="s">
        <v>180</v>
      </c>
      <c r="D307" s="192"/>
      <c r="E307" s="192">
        <f>'Realisasi Februari'!G307</f>
        <v>0</v>
      </c>
      <c r="F307" s="192"/>
      <c r="G307" s="192">
        <f t="shared" si="111"/>
        <v>0</v>
      </c>
      <c r="H307" s="24" t="e">
        <f t="shared" si="107"/>
        <v>#DIV/0!</v>
      </c>
      <c r="I307" s="225" t="s">
        <v>471</v>
      </c>
      <c r="J307" s="175"/>
    </row>
    <row r="308" spans="1:10" s="176" customFormat="1" x14ac:dyDescent="0.25">
      <c r="A308" s="40"/>
      <c r="B308" s="190" t="s">
        <v>373</v>
      </c>
      <c r="C308" s="193" t="s">
        <v>181</v>
      </c>
      <c r="D308" s="192"/>
      <c r="E308" s="192">
        <f>'Realisasi Februari'!G308</f>
        <v>0</v>
      </c>
      <c r="F308" s="192"/>
      <c r="G308" s="192">
        <f t="shared" si="111"/>
        <v>0</v>
      </c>
      <c r="H308" s="24" t="e">
        <f t="shared" si="107"/>
        <v>#DIV/0!</v>
      </c>
      <c r="I308" s="225" t="s">
        <v>471</v>
      </c>
      <c r="J308" s="175"/>
    </row>
    <row r="309" spans="1:10" s="176" customFormat="1" hidden="1" x14ac:dyDescent="0.25">
      <c r="A309" s="40"/>
      <c r="B309" s="43">
        <v>3</v>
      </c>
      <c r="C309" s="185" t="s">
        <v>182</v>
      </c>
      <c r="D309" s="191">
        <f>SUM(D310:D310)</f>
        <v>0</v>
      </c>
      <c r="E309" s="192">
        <f>'Realisasi Februari'!G309</f>
        <v>0</v>
      </c>
      <c r="F309" s="191"/>
      <c r="G309" s="192">
        <f t="shared" si="111"/>
        <v>0</v>
      </c>
      <c r="H309" s="236">
        <v>0</v>
      </c>
      <c r="I309" s="224"/>
      <c r="J309" s="175"/>
    </row>
    <row r="310" spans="1:10" s="176" customFormat="1" hidden="1" x14ac:dyDescent="0.25">
      <c r="A310" s="40"/>
      <c r="B310" s="44"/>
      <c r="C310" s="193" t="s">
        <v>183</v>
      </c>
      <c r="D310" s="192">
        <v>0</v>
      </c>
      <c r="E310" s="192">
        <f>'Realisasi Februari'!G310</f>
        <v>0</v>
      </c>
      <c r="F310" s="192"/>
      <c r="G310" s="192">
        <f t="shared" si="111"/>
        <v>0</v>
      </c>
      <c r="H310" s="24">
        <v>0</v>
      </c>
      <c r="I310" s="223"/>
      <c r="J310" s="175"/>
    </row>
    <row r="311" spans="1:10" s="176" customFormat="1" hidden="1" x14ac:dyDescent="0.25">
      <c r="A311" s="40"/>
      <c r="B311" s="43">
        <v>4</v>
      </c>
      <c r="C311" s="185" t="s">
        <v>184</v>
      </c>
      <c r="D311" s="191">
        <f>SUM(D312:D312)</f>
        <v>0</v>
      </c>
      <c r="E311" s="192">
        <f>'Realisasi Februari'!G311</f>
        <v>0</v>
      </c>
      <c r="F311" s="191"/>
      <c r="G311" s="192">
        <f t="shared" si="111"/>
        <v>0</v>
      </c>
      <c r="H311" s="236">
        <v>0</v>
      </c>
      <c r="I311" s="223"/>
      <c r="J311" s="175"/>
    </row>
    <row r="312" spans="1:10" s="176" customFormat="1" hidden="1" x14ac:dyDescent="0.25">
      <c r="A312" s="40"/>
      <c r="B312" s="44"/>
      <c r="C312" s="193" t="s">
        <v>185</v>
      </c>
      <c r="D312" s="192">
        <v>0</v>
      </c>
      <c r="E312" s="192">
        <f>'Realisasi Februari'!G312</f>
        <v>0</v>
      </c>
      <c r="F312" s="192"/>
      <c r="G312" s="192">
        <f t="shared" si="111"/>
        <v>0</v>
      </c>
      <c r="H312" s="24">
        <v>0</v>
      </c>
      <c r="I312" s="223"/>
      <c r="J312" s="175"/>
    </row>
    <row r="313" spans="1:10" s="176" customFormat="1" x14ac:dyDescent="0.25">
      <c r="A313" s="40"/>
      <c r="B313" s="43">
        <v>3</v>
      </c>
      <c r="C313" s="35" t="s">
        <v>186</v>
      </c>
      <c r="D313" s="191">
        <f>SUM(D314:D314)</f>
        <v>0</v>
      </c>
      <c r="E313" s="191">
        <f t="shared" ref="E313:G313" si="112">SUM(E314:E314)</f>
        <v>0</v>
      </c>
      <c r="F313" s="191">
        <f t="shared" si="112"/>
        <v>0</v>
      </c>
      <c r="G313" s="191">
        <f t="shared" si="112"/>
        <v>0</v>
      </c>
      <c r="H313" s="236"/>
      <c r="I313" s="223"/>
      <c r="J313" s="175"/>
    </row>
    <row r="314" spans="1:10" s="176" customFormat="1" x14ac:dyDescent="0.25">
      <c r="A314" s="40"/>
      <c r="B314" s="190" t="s">
        <v>374</v>
      </c>
      <c r="C314" s="193" t="s">
        <v>187</v>
      </c>
      <c r="D314" s="192">
        <v>0</v>
      </c>
      <c r="E314" s="192">
        <f>'Realisasi Februari'!G314</f>
        <v>0</v>
      </c>
      <c r="F314" s="192"/>
      <c r="G314" s="192">
        <f t="shared" si="111"/>
        <v>0</v>
      </c>
      <c r="H314" s="24"/>
      <c r="I314" s="225"/>
      <c r="J314" s="175"/>
    </row>
    <row r="315" spans="1:10" s="176" customFormat="1" x14ac:dyDescent="0.25">
      <c r="A315" s="40"/>
      <c r="B315" s="43">
        <v>4</v>
      </c>
      <c r="C315" s="185" t="s">
        <v>188</v>
      </c>
      <c r="D315" s="191">
        <f>SUM(D316)</f>
        <v>0</v>
      </c>
      <c r="E315" s="191">
        <f t="shared" ref="E315:G315" si="113">SUM(E316)</f>
        <v>0</v>
      </c>
      <c r="F315" s="191">
        <f t="shared" si="113"/>
        <v>0</v>
      </c>
      <c r="G315" s="191">
        <f t="shared" si="113"/>
        <v>0</v>
      </c>
      <c r="H315" s="236"/>
      <c r="I315" s="223"/>
      <c r="J315" s="175"/>
    </row>
    <row r="316" spans="1:10" s="176" customFormat="1" x14ac:dyDescent="0.25">
      <c r="A316" s="40"/>
      <c r="B316" s="190" t="s">
        <v>375</v>
      </c>
      <c r="C316" s="193" t="s">
        <v>189</v>
      </c>
      <c r="D316" s="192">
        <v>0</v>
      </c>
      <c r="E316" s="192"/>
      <c r="F316" s="192"/>
      <c r="G316" s="192">
        <f t="shared" si="111"/>
        <v>0</v>
      </c>
      <c r="H316" s="24"/>
      <c r="I316" s="225"/>
      <c r="J316" s="175"/>
    </row>
    <row r="317" spans="1:10" s="176" customFormat="1" hidden="1" x14ac:dyDescent="0.25">
      <c r="A317" s="40"/>
      <c r="B317" s="43">
        <v>5</v>
      </c>
      <c r="C317" s="185" t="s">
        <v>190</v>
      </c>
      <c r="D317" s="191">
        <f>SUM(D318)</f>
        <v>0</v>
      </c>
      <c r="E317" s="191"/>
      <c r="F317" s="191">
        <f>SUM(F318)</f>
        <v>0</v>
      </c>
      <c r="G317" s="192" t="e">
        <f>#REF!+F317</f>
        <v>#REF!</v>
      </c>
      <c r="H317" s="236">
        <v>0</v>
      </c>
      <c r="I317" s="224"/>
      <c r="J317" s="175"/>
    </row>
    <row r="318" spans="1:10" s="176" customFormat="1" hidden="1" x14ac:dyDescent="0.25">
      <c r="A318" s="40"/>
      <c r="B318" s="44"/>
      <c r="C318" s="193" t="s">
        <v>191</v>
      </c>
      <c r="D318" s="192">
        <v>0</v>
      </c>
      <c r="E318" s="192"/>
      <c r="F318" s="192">
        <v>0</v>
      </c>
      <c r="G318" s="192" t="e">
        <f>#REF!+F318</f>
        <v>#REF!</v>
      </c>
      <c r="H318" s="24">
        <v>0</v>
      </c>
      <c r="I318" s="223"/>
      <c r="J318" s="175"/>
    </row>
    <row r="319" spans="1:10" s="176" customFormat="1" x14ac:dyDescent="0.25">
      <c r="A319" s="40"/>
      <c r="B319" s="43">
        <v>5</v>
      </c>
      <c r="C319" s="185" t="s">
        <v>192</v>
      </c>
      <c r="D319" s="191">
        <f>SUM(D320:D321)</f>
        <v>0</v>
      </c>
      <c r="E319" s="191">
        <f t="shared" ref="E319:G319" si="114">SUM(E320:E321)</f>
        <v>0</v>
      </c>
      <c r="F319" s="191">
        <f t="shared" si="114"/>
        <v>0</v>
      </c>
      <c r="G319" s="191">
        <f t="shared" si="114"/>
        <v>0</v>
      </c>
      <c r="H319" s="236" t="e">
        <f>G319/D319</f>
        <v>#DIV/0!</v>
      </c>
      <c r="I319" s="223"/>
      <c r="J319" s="175"/>
    </row>
    <row r="320" spans="1:10" s="176" customFormat="1" x14ac:dyDescent="0.25">
      <c r="A320" s="40"/>
      <c r="B320" s="190" t="s">
        <v>539</v>
      </c>
      <c r="C320" s="193" t="s">
        <v>193</v>
      </c>
      <c r="D320" s="192"/>
      <c r="E320" s="192"/>
      <c r="F320" s="192"/>
      <c r="G320" s="192">
        <f>E320+F320</f>
        <v>0</v>
      </c>
      <c r="H320" s="24" t="e">
        <f>G320/D320</f>
        <v>#DIV/0!</v>
      </c>
      <c r="I320" s="225" t="s">
        <v>470</v>
      </c>
      <c r="J320" s="175"/>
    </row>
    <row r="321" spans="1:10" s="176" customFormat="1" x14ac:dyDescent="0.25">
      <c r="A321" s="40"/>
      <c r="B321" s="190" t="s">
        <v>540</v>
      </c>
      <c r="C321" s="193" t="s">
        <v>194</v>
      </c>
      <c r="D321" s="192"/>
      <c r="E321" s="192"/>
      <c r="F321" s="192"/>
      <c r="G321" s="192">
        <f>E321+F321</f>
        <v>0</v>
      </c>
      <c r="H321" s="24" t="e">
        <f>G321/D321</f>
        <v>#DIV/0!</v>
      </c>
      <c r="I321" s="225" t="s">
        <v>470</v>
      </c>
      <c r="J321" s="175"/>
    </row>
    <row r="322" spans="1:10" s="176" customFormat="1" x14ac:dyDescent="0.25">
      <c r="A322" s="40"/>
      <c r="B322" s="43">
        <v>6</v>
      </c>
      <c r="C322" s="170" t="s">
        <v>206</v>
      </c>
      <c r="D322" s="191">
        <f>D323</f>
        <v>7340205000</v>
      </c>
      <c r="E322" s="191">
        <f t="shared" ref="E322:G322" si="115">E323</f>
        <v>0</v>
      </c>
      <c r="F322" s="191">
        <f t="shared" si="115"/>
        <v>0</v>
      </c>
      <c r="G322" s="191">
        <f t="shared" si="115"/>
        <v>0</v>
      </c>
      <c r="H322" s="236">
        <f>G322/D322</f>
        <v>0</v>
      </c>
      <c r="I322" s="225"/>
      <c r="J322" s="175"/>
    </row>
    <row r="323" spans="1:10" s="176" customFormat="1" x14ac:dyDescent="0.25">
      <c r="A323" s="40"/>
      <c r="B323" s="190"/>
      <c r="C323" s="48" t="s">
        <v>210</v>
      </c>
      <c r="D323" s="192">
        <v>7340205000</v>
      </c>
      <c r="E323" s="192"/>
      <c r="F323" s="192"/>
      <c r="G323" s="192"/>
      <c r="H323" s="24">
        <f>G323/D323</f>
        <v>0</v>
      </c>
      <c r="I323" s="225"/>
      <c r="J323" s="175"/>
    </row>
    <row r="324" spans="1:10" s="176" customFormat="1" x14ac:dyDescent="0.25">
      <c r="A324" s="40"/>
      <c r="B324" s="178"/>
      <c r="C324" s="183"/>
      <c r="D324" s="192"/>
      <c r="E324" s="192"/>
      <c r="F324" s="192"/>
      <c r="G324" s="191"/>
      <c r="H324" s="236"/>
      <c r="I324" s="224"/>
      <c r="J324" s="175"/>
    </row>
    <row r="325" spans="1:10" s="176" customFormat="1" ht="37.5" hidden="1" customHeight="1" x14ac:dyDescent="0.25">
      <c r="A325" s="293"/>
      <c r="B325" s="262" t="s">
        <v>414</v>
      </c>
      <c r="C325" s="45" t="s">
        <v>195</v>
      </c>
      <c r="D325" s="42">
        <f>SUM(D326+D335+D337+D339+D341+D343+D345)</f>
        <v>0</v>
      </c>
      <c r="E325" s="42"/>
      <c r="F325" s="42">
        <f t="shared" ref="F325:G325" si="116">SUM(F326+F335+F337+F339+F341+F343+F345)</f>
        <v>0</v>
      </c>
      <c r="G325" s="42">
        <f t="shared" si="116"/>
        <v>0</v>
      </c>
      <c r="H325" s="237" t="e">
        <f>G325/D325</f>
        <v>#DIV/0!</v>
      </c>
      <c r="I325" s="225" t="s">
        <v>469</v>
      </c>
      <c r="J325" s="175"/>
    </row>
    <row r="326" spans="1:10" s="176" customFormat="1" hidden="1" x14ac:dyDescent="0.25">
      <c r="A326" s="40"/>
      <c r="B326" s="43">
        <v>1</v>
      </c>
      <c r="C326" s="185" t="s">
        <v>177</v>
      </c>
      <c r="D326" s="191">
        <f>SUM(D328:D333)</f>
        <v>0</v>
      </c>
      <c r="E326" s="191">
        <f t="shared" ref="E326:G326" si="117">SUM(E328:E333)</f>
        <v>0</v>
      </c>
      <c r="F326" s="191">
        <f t="shared" si="117"/>
        <v>0</v>
      </c>
      <c r="G326" s="191">
        <f t="shared" si="117"/>
        <v>0</v>
      </c>
      <c r="H326" s="236" t="e">
        <f>G326/D326</f>
        <v>#DIV/0!</v>
      </c>
      <c r="I326" s="225"/>
      <c r="J326" s="175"/>
    </row>
    <row r="327" spans="1:10" s="176" customFormat="1" hidden="1" x14ac:dyDescent="0.25">
      <c r="A327" s="40"/>
      <c r="B327" s="44"/>
      <c r="C327" s="193" t="s">
        <v>196</v>
      </c>
      <c r="D327" s="192">
        <v>0</v>
      </c>
      <c r="E327" s="192"/>
      <c r="F327" s="192">
        <v>0</v>
      </c>
      <c r="G327" s="191" t="e">
        <f>#REF!+F327</f>
        <v>#REF!</v>
      </c>
      <c r="H327" s="24">
        <v>0</v>
      </c>
      <c r="I327" s="223"/>
      <c r="J327" s="175"/>
    </row>
    <row r="328" spans="1:10" s="176" customFormat="1" hidden="1" x14ac:dyDescent="0.25">
      <c r="A328" s="40"/>
      <c r="B328" s="190" t="s">
        <v>388</v>
      </c>
      <c r="C328" s="193" t="s">
        <v>197</v>
      </c>
      <c r="D328" s="192">
        <v>0</v>
      </c>
      <c r="E328" s="192"/>
      <c r="F328" s="192"/>
      <c r="G328" s="192">
        <f>E328+F328</f>
        <v>0</v>
      </c>
      <c r="H328" s="24"/>
      <c r="I328" s="225"/>
      <c r="J328" s="175"/>
    </row>
    <row r="329" spans="1:10" s="176" customFormat="1" ht="18" hidden="1" customHeight="1" x14ac:dyDescent="0.25">
      <c r="A329" s="40"/>
      <c r="B329" s="44"/>
      <c r="C329" s="193" t="s">
        <v>198</v>
      </c>
      <c r="D329" s="192"/>
      <c r="E329" s="192"/>
      <c r="F329" s="192"/>
      <c r="G329" s="192">
        <f t="shared" ref="G329:G333" si="118">E329+F329</f>
        <v>0</v>
      </c>
      <c r="H329" s="24"/>
      <c r="I329" s="223"/>
      <c r="J329" s="175"/>
    </row>
    <row r="330" spans="1:10" s="176" customFormat="1" hidden="1" x14ac:dyDescent="0.25">
      <c r="A330" s="40"/>
      <c r="B330" s="190" t="s">
        <v>389</v>
      </c>
      <c r="C330" s="193" t="s">
        <v>199</v>
      </c>
      <c r="D330" s="192">
        <v>0</v>
      </c>
      <c r="E330" s="192"/>
      <c r="F330" s="192"/>
      <c r="G330" s="192">
        <f t="shared" si="118"/>
        <v>0</v>
      </c>
      <c r="H330" s="24"/>
      <c r="I330" s="225"/>
      <c r="J330" s="175"/>
    </row>
    <row r="331" spans="1:10" s="176" customFormat="1" hidden="1" x14ac:dyDescent="0.25">
      <c r="A331" s="40"/>
      <c r="B331" s="44"/>
      <c r="C331" s="193" t="s">
        <v>200</v>
      </c>
      <c r="D331" s="192">
        <v>0</v>
      </c>
      <c r="E331" s="192"/>
      <c r="F331" s="192"/>
      <c r="G331" s="192">
        <f t="shared" si="118"/>
        <v>0</v>
      </c>
      <c r="H331" s="24">
        <v>0</v>
      </c>
      <c r="I331" s="223"/>
      <c r="J331" s="175"/>
    </row>
    <row r="332" spans="1:10" s="176" customFormat="1" hidden="1" x14ac:dyDescent="0.25">
      <c r="A332" s="40"/>
      <c r="B332" s="44"/>
      <c r="C332" s="193" t="s">
        <v>201</v>
      </c>
      <c r="D332" s="192">
        <v>0</v>
      </c>
      <c r="E332" s="192"/>
      <c r="F332" s="192"/>
      <c r="G332" s="192">
        <f t="shared" si="118"/>
        <v>0</v>
      </c>
      <c r="H332" s="24"/>
      <c r="I332" s="225"/>
      <c r="J332" s="175"/>
    </row>
    <row r="333" spans="1:10" s="176" customFormat="1" hidden="1" x14ac:dyDescent="0.25">
      <c r="A333" s="40"/>
      <c r="B333" s="190" t="s">
        <v>541</v>
      </c>
      <c r="C333" s="193" t="s">
        <v>390</v>
      </c>
      <c r="D333" s="192"/>
      <c r="E333" s="192"/>
      <c r="F333" s="192"/>
      <c r="G333" s="192">
        <f t="shared" si="118"/>
        <v>0</v>
      </c>
      <c r="H333" s="24" t="e">
        <f>G333/D333</f>
        <v>#DIV/0!</v>
      </c>
      <c r="I333" s="225" t="s">
        <v>470</v>
      </c>
      <c r="J333" s="175"/>
    </row>
    <row r="334" spans="1:10" s="176" customFormat="1" hidden="1" x14ac:dyDescent="0.25">
      <c r="A334" s="40"/>
      <c r="B334" s="44"/>
      <c r="C334" s="183"/>
      <c r="D334" s="192"/>
      <c r="E334" s="192"/>
      <c r="F334" s="192"/>
      <c r="G334" s="191"/>
      <c r="H334" s="24"/>
      <c r="I334" s="223"/>
      <c r="J334" s="175"/>
    </row>
    <row r="335" spans="1:10" s="176" customFormat="1" hidden="1" x14ac:dyDescent="0.25">
      <c r="A335" s="40"/>
      <c r="B335" s="43">
        <v>2</v>
      </c>
      <c r="C335" s="185" t="s">
        <v>202</v>
      </c>
      <c r="D335" s="191">
        <f>SUM(D336:D336)</f>
        <v>0</v>
      </c>
      <c r="E335" s="191"/>
      <c r="F335" s="191">
        <f t="shared" ref="F335:G335" si="119">SUM(F336:F336)</f>
        <v>0</v>
      </c>
      <c r="G335" s="191">
        <f t="shared" si="119"/>
        <v>0</v>
      </c>
      <c r="H335" s="236" t="e">
        <f t="shared" ref="H335:H346" si="120">G335/D335</f>
        <v>#DIV/0!</v>
      </c>
      <c r="I335" s="224"/>
      <c r="J335" s="175"/>
    </row>
    <row r="336" spans="1:10" s="176" customFormat="1" hidden="1" x14ac:dyDescent="0.25">
      <c r="A336" s="40"/>
      <c r="B336" s="190" t="s">
        <v>542</v>
      </c>
      <c r="C336" s="193" t="s">
        <v>391</v>
      </c>
      <c r="D336" s="192"/>
      <c r="E336" s="192"/>
      <c r="F336" s="192"/>
      <c r="G336" s="192">
        <f>E336+F336</f>
        <v>0</v>
      </c>
      <c r="H336" s="24" t="e">
        <f t="shared" si="120"/>
        <v>#DIV/0!</v>
      </c>
      <c r="I336" s="225" t="s">
        <v>470</v>
      </c>
      <c r="J336" s="175"/>
    </row>
    <row r="337" spans="1:10" s="176" customFormat="1" hidden="1" x14ac:dyDescent="0.25">
      <c r="A337" s="40"/>
      <c r="B337" s="43">
        <v>3</v>
      </c>
      <c r="C337" s="185" t="s">
        <v>203</v>
      </c>
      <c r="D337" s="191">
        <f>SUM(D338:D338)</f>
        <v>0</v>
      </c>
      <c r="E337" s="191"/>
      <c r="F337" s="191">
        <f t="shared" ref="F337:G337" si="121">SUM(F338:F338)</f>
        <v>0</v>
      </c>
      <c r="G337" s="191">
        <f t="shared" si="121"/>
        <v>0</v>
      </c>
      <c r="H337" s="236" t="e">
        <f t="shared" si="120"/>
        <v>#DIV/0!</v>
      </c>
      <c r="I337" s="224"/>
      <c r="J337" s="175"/>
    </row>
    <row r="338" spans="1:10" s="176" customFormat="1" hidden="1" x14ac:dyDescent="0.25">
      <c r="A338" s="40"/>
      <c r="B338" s="190" t="s">
        <v>543</v>
      </c>
      <c r="C338" s="193" t="s">
        <v>392</v>
      </c>
      <c r="D338" s="192"/>
      <c r="E338" s="192"/>
      <c r="F338" s="192"/>
      <c r="G338" s="192">
        <f>E338+F338</f>
        <v>0</v>
      </c>
      <c r="H338" s="24" t="e">
        <f t="shared" si="120"/>
        <v>#DIV/0!</v>
      </c>
      <c r="I338" s="225" t="s">
        <v>469</v>
      </c>
      <c r="J338" s="175"/>
    </row>
    <row r="339" spans="1:10" s="176" customFormat="1" hidden="1" x14ac:dyDescent="0.25">
      <c r="A339" s="40"/>
      <c r="B339" s="43">
        <v>4</v>
      </c>
      <c r="C339" s="185" t="s">
        <v>192</v>
      </c>
      <c r="D339" s="191">
        <f>SUM(D340)</f>
        <v>0</v>
      </c>
      <c r="E339" s="191"/>
      <c r="F339" s="191">
        <f t="shared" ref="F339:G339" si="122">SUM(F340)</f>
        <v>0</v>
      </c>
      <c r="G339" s="191">
        <f t="shared" si="122"/>
        <v>0</v>
      </c>
      <c r="H339" s="236" t="e">
        <f t="shared" si="120"/>
        <v>#DIV/0!</v>
      </c>
      <c r="I339" s="224"/>
      <c r="J339" s="175"/>
    </row>
    <row r="340" spans="1:10" s="176" customFormat="1" hidden="1" x14ac:dyDescent="0.25">
      <c r="A340" s="40"/>
      <c r="B340" s="190" t="s">
        <v>544</v>
      </c>
      <c r="C340" s="47" t="s">
        <v>393</v>
      </c>
      <c r="D340" s="192"/>
      <c r="E340" s="192"/>
      <c r="F340" s="192"/>
      <c r="G340" s="192">
        <f>E340+F340</f>
        <v>0</v>
      </c>
      <c r="H340" s="24" t="e">
        <f t="shared" si="120"/>
        <v>#DIV/0!</v>
      </c>
      <c r="I340" s="225" t="s">
        <v>469</v>
      </c>
      <c r="J340" s="175"/>
    </row>
    <row r="341" spans="1:10" s="176" customFormat="1" hidden="1" x14ac:dyDescent="0.25">
      <c r="A341" s="40"/>
      <c r="B341" s="43">
        <v>5</v>
      </c>
      <c r="C341" s="185" t="s">
        <v>204</v>
      </c>
      <c r="D341" s="191">
        <f>SUM(D342:D342)</f>
        <v>0</v>
      </c>
      <c r="E341" s="191"/>
      <c r="F341" s="191">
        <f t="shared" ref="F341:G341" si="123">SUM(F342:F342)</f>
        <v>0</v>
      </c>
      <c r="G341" s="191">
        <f t="shared" si="123"/>
        <v>0</v>
      </c>
      <c r="H341" s="236" t="e">
        <f t="shared" si="120"/>
        <v>#DIV/0!</v>
      </c>
      <c r="I341" s="223"/>
      <c r="J341" s="175"/>
    </row>
    <row r="342" spans="1:10" s="176" customFormat="1" hidden="1" x14ac:dyDescent="0.25">
      <c r="A342" s="40"/>
      <c r="B342" s="190" t="s">
        <v>545</v>
      </c>
      <c r="C342" s="47" t="s">
        <v>394</v>
      </c>
      <c r="D342" s="192"/>
      <c r="E342" s="192"/>
      <c r="F342" s="192"/>
      <c r="G342" s="192">
        <f>E342+F342</f>
        <v>0</v>
      </c>
      <c r="H342" s="24" t="e">
        <f t="shared" si="120"/>
        <v>#DIV/0!</v>
      </c>
      <c r="I342" s="225"/>
      <c r="J342" s="175"/>
    </row>
    <row r="343" spans="1:10" s="176" customFormat="1" hidden="1" x14ac:dyDescent="0.25">
      <c r="A343" s="40"/>
      <c r="B343" s="43">
        <v>6</v>
      </c>
      <c r="C343" s="185" t="s">
        <v>205</v>
      </c>
      <c r="D343" s="191">
        <f>SUM(D344:D344)</f>
        <v>0</v>
      </c>
      <c r="E343" s="191">
        <f t="shared" ref="E343:G343" si="124">SUM(E344:E344)</f>
        <v>0</v>
      </c>
      <c r="F343" s="191">
        <f t="shared" si="124"/>
        <v>0</v>
      </c>
      <c r="G343" s="191">
        <f t="shared" si="124"/>
        <v>0</v>
      </c>
      <c r="H343" s="253" t="e">
        <f t="shared" si="120"/>
        <v>#DIV/0!</v>
      </c>
      <c r="I343" s="223"/>
      <c r="J343" s="175"/>
    </row>
    <row r="344" spans="1:10" s="176" customFormat="1" hidden="1" x14ac:dyDescent="0.25">
      <c r="A344" s="40"/>
      <c r="B344" s="190" t="s">
        <v>376</v>
      </c>
      <c r="C344" s="48" t="s">
        <v>395</v>
      </c>
      <c r="D344" s="192">
        <v>0</v>
      </c>
      <c r="E344" s="192"/>
      <c r="F344" s="192"/>
      <c r="G344" s="192">
        <f>E344+F344</f>
        <v>0</v>
      </c>
      <c r="H344" s="252" t="e">
        <f t="shared" si="120"/>
        <v>#DIV/0!</v>
      </c>
      <c r="I344" s="225"/>
      <c r="J344" s="175"/>
    </row>
    <row r="345" spans="1:10" s="176" customFormat="1" hidden="1" x14ac:dyDescent="0.25">
      <c r="A345" s="40"/>
      <c r="B345" s="46">
        <v>7</v>
      </c>
      <c r="C345" s="170" t="s">
        <v>206</v>
      </c>
      <c r="D345" s="191">
        <f>D346</f>
        <v>0</v>
      </c>
      <c r="E345" s="191"/>
      <c r="F345" s="191">
        <f t="shared" ref="F345:G345" si="125">F346</f>
        <v>0</v>
      </c>
      <c r="G345" s="191">
        <f t="shared" si="125"/>
        <v>0</v>
      </c>
      <c r="H345" s="236" t="e">
        <f t="shared" si="120"/>
        <v>#DIV/0!</v>
      </c>
      <c r="I345" s="225"/>
      <c r="J345" s="175"/>
    </row>
    <row r="346" spans="1:10" s="176" customFormat="1" hidden="1" x14ac:dyDescent="0.25">
      <c r="A346" s="40"/>
      <c r="B346" s="190" t="s">
        <v>546</v>
      </c>
      <c r="C346" s="48" t="s">
        <v>207</v>
      </c>
      <c r="D346" s="192"/>
      <c r="E346" s="192"/>
      <c r="F346" s="192"/>
      <c r="G346" s="192">
        <f>E346+F346</f>
        <v>0</v>
      </c>
      <c r="H346" s="24" t="e">
        <f t="shared" si="120"/>
        <v>#DIV/0!</v>
      </c>
      <c r="I346" s="225" t="s">
        <v>469</v>
      </c>
      <c r="J346" s="175"/>
    </row>
    <row r="347" spans="1:10" s="176" customFormat="1" hidden="1" x14ac:dyDescent="0.25">
      <c r="A347" s="40"/>
      <c r="B347" s="46"/>
      <c r="C347" s="49"/>
      <c r="D347" s="50"/>
      <c r="E347" s="50"/>
      <c r="F347" s="50"/>
      <c r="G347" s="191"/>
      <c r="H347" s="236"/>
      <c r="I347" s="223"/>
      <c r="J347" s="175"/>
    </row>
    <row r="348" spans="1:10" s="176" customFormat="1" ht="36.75" hidden="1" customHeight="1" x14ac:dyDescent="0.25">
      <c r="A348" s="293"/>
      <c r="B348" s="262" t="s">
        <v>415</v>
      </c>
      <c r="C348" s="41" t="s">
        <v>208</v>
      </c>
      <c r="D348" s="42">
        <f>SUM(D349+D351+D353+D356+D358+D360)</f>
        <v>0</v>
      </c>
      <c r="E348" s="42"/>
      <c r="F348" s="42">
        <f>SUM(F349+F351+F353+F356+F358+F360)</f>
        <v>0</v>
      </c>
      <c r="G348" s="42">
        <f t="shared" ref="G348:G361" si="126">F348-D348</f>
        <v>0</v>
      </c>
      <c r="H348" s="237"/>
      <c r="I348" s="226"/>
      <c r="J348" s="175"/>
    </row>
    <row r="349" spans="1:10" s="176" customFormat="1" hidden="1" x14ac:dyDescent="0.25">
      <c r="A349" s="40"/>
      <c r="B349" s="51">
        <v>1</v>
      </c>
      <c r="C349" s="35" t="s">
        <v>209</v>
      </c>
      <c r="D349" s="191">
        <f>SUM(D350:D350)</f>
        <v>0</v>
      </c>
      <c r="E349" s="191"/>
      <c r="F349" s="191">
        <f>SUM(F350:F350)</f>
        <v>0</v>
      </c>
      <c r="G349" s="191">
        <f t="shared" si="126"/>
        <v>0</v>
      </c>
      <c r="H349" s="236"/>
      <c r="I349" s="224"/>
      <c r="J349" s="175"/>
    </row>
    <row r="350" spans="1:10" s="176" customFormat="1" hidden="1" x14ac:dyDescent="0.25">
      <c r="A350" s="40"/>
      <c r="B350" s="190" t="s">
        <v>380</v>
      </c>
      <c r="C350" s="193" t="s">
        <v>210</v>
      </c>
      <c r="D350" s="192">
        <v>0</v>
      </c>
      <c r="E350" s="192"/>
      <c r="F350" s="192">
        <v>0</v>
      </c>
      <c r="G350" s="192">
        <f t="shared" si="126"/>
        <v>0</v>
      </c>
      <c r="H350" s="24"/>
      <c r="I350" s="225"/>
      <c r="J350" s="175"/>
    </row>
    <row r="351" spans="1:10" s="176" customFormat="1" hidden="1" x14ac:dyDescent="0.25">
      <c r="A351" s="40"/>
      <c r="B351" s="51">
        <v>2</v>
      </c>
      <c r="C351" s="35" t="s">
        <v>211</v>
      </c>
      <c r="D351" s="191">
        <f>SUM(D352)</f>
        <v>0</v>
      </c>
      <c r="E351" s="191"/>
      <c r="F351" s="191">
        <f>SUM(F352)</f>
        <v>0</v>
      </c>
      <c r="G351" s="191">
        <f t="shared" si="126"/>
        <v>0</v>
      </c>
      <c r="H351" s="236"/>
      <c r="I351" s="224"/>
      <c r="J351" s="175"/>
    </row>
    <row r="352" spans="1:10" s="176" customFormat="1" hidden="1" x14ac:dyDescent="0.25">
      <c r="A352" s="40"/>
      <c r="B352" s="190" t="s">
        <v>383</v>
      </c>
      <c r="C352" s="193" t="s">
        <v>194</v>
      </c>
      <c r="D352" s="192">
        <v>0</v>
      </c>
      <c r="E352" s="192"/>
      <c r="F352" s="192">
        <v>0</v>
      </c>
      <c r="G352" s="192">
        <f t="shared" si="126"/>
        <v>0</v>
      </c>
      <c r="H352" s="24"/>
      <c r="I352" s="225"/>
      <c r="J352" s="175"/>
    </row>
    <row r="353" spans="1:10" s="176" customFormat="1" hidden="1" x14ac:dyDescent="0.25">
      <c r="A353" s="40"/>
      <c r="B353" s="51">
        <v>3</v>
      </c>
      <c r="C353" s="185" t="s">
        <v>172</v>
      </c>
      <c r="D353" s="191">
        <f>SUM(D354:D355)</f>
        <v>0</v>
      </c>
      <c r="E353" s="191"/>
      <c r="F353" s="191">
        <f>SUM(F354:F355)</f>
        <v>0</v>
      </c>
      <c r="G353" s="191">
        <f t="shared" si="126"/>
        <v>0</v>
      </c>
      <c r="H353" s="236"/>
      <c r="I353" s="224"/>
      <c r="J353" s="175"/>
    </row>
    <row r="354" spans="1:10" s="176" customFormat="1" hidden="1" x14ac:dyDescent="0.25">
      <c r="A354" s="40"/>
      <c r="B354" s="190" t="s">
        <v>377</v>
      </c>
      <c r="C354" s="193" t="s">
        <v>174</v>
      </c>
      <c r="D354" s="192"/>
      <c r="E354" s="192"/>
      <c r="F354" s="192"/>
      <c r="G354" s="192">
        <f t="shared" si="126"/>
        <v>0</v>
      </c>
      <c r="H354" s="24"/>
      <c r="I354" s="225"/>
      <c r="J354" s="175"/>
    </row>
    <row r="355" spans="1:10" s="176" customFormat="1" hidden="1" x14ac:dyDescent="0.25">
      <c r="A355" s="40"/>
      <c r="B355" s="190" t="s">
        <v>378</v>
      </c>
      <c r="C355" s="193" t="s">
        <v>175</v>
      </c>
      <c r="D355" s="192"/>
      <c r="E355" s="192"/>
      <c r="F355" s="192"/>
      <c r="G355" s="192">
        <f t="shared" si="126"/>
        <v>0</v>
      </c>
      <c r="H355" s="24"/>
      <c r="I355" s="225"/>
      <c r="J355" s="175"/>
    </row>
    <row r="356" spans="1:10" s="176" customFormat="1" hidden="1" x14ac:dyDescent="0.25">
      <c r="A356" s="40"/>
      <c r="B356" s="51">
        <v>4</v>
      </c>
      <c r="C356" s="35" t="s">
        <v>212</v>
      </c>
      <c r="D356" s="191">
        <f>D357</f>
        <v>0</v>
      </c>
      <c r="E356" s="191"/>
      <c r="F356" s="191">
        <f>F357</f>
        <v>0</v>
      </c>
      <c r="G356" s="191">
        <f t="shared" si="126"/>
        <v>0</v>
      </c>
      <c r="H356" s="236"/>
      <c r="I356" s="225"/>
      <c r="J356" s="175"/>
    </row>
    <row r="357" spans="1:10" s="176" customFormat="1" hidden="1" x14ac:dyDescent="0.25">
      <c r="A357" s="40"/>
      <c r="B357" s="190" t="s">
        <v>381</v>
      </c>
      <c r="C357" s="193" t="s">
        <v>189</v>
      </c>
      <c r="D357" s="191">
        <v>0</v>
      </c>
      <c r="E357" s="191"/>
      <c r="F357" s="191">
        <v>0</v>
      </c>
      <c r="G357" s="192">
        <f t="shared" si="126"/>
        <v>0</v>
      </c>
      <c r="H357" s="236"/>
      <c r="I357" s="225"/>
      <c r="J357" s="175"/>
    </row>
    <row r="358" spans="1:10" s="176" customFormat="1" hidden="1" x14ac:dyDescent="0.25">
      <c r="A358" s="40"/>
      <c r="B358" s="51">
        <v>5</v>
      </c>
      <c r="C358" s="35" t="s">
        <v>213</v>
      </c>
      <c r="D358" s="191">
        <f>SUM(D359:D359)</f>
        <v>0</v>
      </c>
      <c r="E358" s="191"/>
      <c r="F358" s="191">
        <f>SUM(F359:F359)</f>
        <v>0</v>
      </c>
      <c r="G358" s="191">
        <f t="shared" si="126"/>
        <v>0</v>
      </c>
      <c r="H358" s="236"/>
      <c r="I358" s="224"/>
      <c r="J358" s="175"/>
    </row>
    <row r="359" spans="1:10" s="176" customFormat="1" hidden="1" x14ac:dyDescent="0.25">
      <c r="A359" s="40"/>
      <c r="B359" s="190" t="s">
        <v>382</v>
      </c>
      <c r="C359" s="193" t="s">
        <v>187</v>
      </c>
      <c r="D359" s="192">
        <v>0</v>
      </c>
      <c r="E359" s="192"/>
      <c r="F359" s="192">
        <v>0</v>
      </c>
      <c r="G359" s="192">
        <f t="shared" si="126"/>
        <v>0</v>
      </c>
      <c r="H359" s="24"/>
      <c r="I359" s="225"/>
      <c r="J359" s="175"/>
    </row>
    <row r="360" spans="1:10" s="176" customFormat="1" hidden="1" x14ac:dyDescent="0.25">
      <c r="A360" s="40"/>
      <c r="B360" s="51">
        <v>6</v>
      </c>
      <c r="C360" s="35" t="s">
        <v>214</v>
      </c>
      <c r="D360" s="191">
        <f>SUM(D361:D361)</f>
        <v>0</v>
      </c>
      <c r="E360" s="191"/>
      <c r="F360" s="191">
        <f>SUM(F361:F361)</f>
        <v>0</v>
      </c>
      <c r="G360" s="191">
        <f t="shared" si="126"/>
        <v>0</v>
      </c>
      <c r="H360" s="236"/>
      <c r="I360" s="224"/>
      <c r="J360" s="175"/>
    </row>
    <row r="361" spans="1:10" s="176" customFormat="1" hidden="1" x14ac:dyDescent="0.25">
      <c r="A361" s="40"/>
      <c r="B361" s="190" t="s">
        <v>379</v>
      </c>
      <c r="C361" s="193" t="s">
        <v>215</v>
      </c>
      <c r="D361" s="192"/>
      <c r="E361" s="192"/>
      <c r="F361" s="192"/>
      <c r="G361" s="192">
        <f t="shared" si="126"/>
        <v>0</v>
      </c>
      <c r="H361" s="24"/>
      <c r="I361" s="225"/>
      <c r="J361" s="175"/>
    </row>
    <row r="362" spans="1:10" s="176" customFormat="1" x14ac:dyDescent="0.25">
      <c r="A362" s="40"/>
      <c r="B362" s="178"/>
      <c r="C362" s="183"/>
      <c r="D362" s="192"/>
      <c r="E362" s="192"/>
      <c r="F362" s="192"/>
      <c r="G362" s="191"/>
      <c r="H362" s="236"/>
      <c r="I362" s="224"/>
      <c r="J362" s="175"/>
    </row>
    <row r="363" spans="1:10" s="176" customFormat="1" ht="25.5" customHeight="1" x14ac:dyDescent="0.25">
      <c r="A363" s="138" t="s">
        <v>235</v>
      </c>
      <c r="B363" s="139" t="s">
        <v>384</v>
      </c>
      <c r="C363" s="140" t="s">
        <v>385</v>
      </c>
      <c r="D363" s="141">
        <f>SUM(D365+D367+M370+D370+D373+D376+D379+D382+D390+D393+D396+D399+D402+D405)</f>
        <v>51863030000</v>
      </c>
      <c r="E363" s="141"/>
      <c r="F363" s="141">
        <f t="shared" ref="F363:G363" si="127">SUM(F370+F373+F376+F379+F382+F390+F393+F396+F399+F402+F405)</f>
        <v>0</v>
      </c>
      <c r="G363" s="141">
        <f t="shared" si="127"/>
        <v>0</v>
      </c>
      <c r="H363" s="240">
        <f>G363/D363</f>
        <v>0</v>
      </c>
      <c r="I363" s="225" t="s">
        <v>216</v>
      </c>
      <c r="J363" s="175"/>
    </row>
    <row r="364" spans="1:10" s="176" customFormat="1" ht="21" customHeight="1" x14ac:dyDescent="0.25">
      <c r="A364" s="40"/>
      <c r="B364" s="167" t="s">
        <v>19</v>
      </c>
      <c r="C364" s="185" t="s">
        <v>635</v>
      </c>
      <c r="D364" s="191">
        <f>D365</f>
        <v>50738030000</v>
      </c>
      <c r="E364" s="191"/>
      <c r="F364" s="191">
        <f t="shared" ref="F364:G364" si="128">F365</f>
        <v>0</v>
      </c>
      <c r="G364" s="191">
        <f t="shared" si="128"/>
        <v>0</v>
      </c>
      <c r="H364" s="236">
        <f>G364/D364</f>
        <v>0</v>
      </c>
      <c r="I364" s="225" t="s">
        <v>218</v>
      </c>
      <c r="J364" s="175"/>
    </row>
    <row r="365" spans="1:10" s="176" customFormat="1" ht="21" customHeight="1" x14ac:dyDescent="0.25">
      <c r="A365" s="40"/>
      <c r="B365" s="190" t="s">
        <v>634</v>
      </c>
      <c r="C365" s="183" t="s">
        <v>636</v>
      </c>
      <c r="D365" s="192">
        <v>50738030000</v>
      </c>
      <c r="E365" s="192"/>
      <c r="F365" s="192"/>
      <c r="G365" s="192">
        <f>E365+F365</f>
        <v>0</v>
      </c>
      <c r="H365" s="24">
        <f>G365/D365</f>
        <v>0</v>
      </c>
      <c r="I365" s="225"/>
      <c r="J365" s="175"/>
    </row>
    <row r="366" spans="1:10" s="176" customFormat="1" ht="25.5" customHeight="1" x14ac:dyDescent="0.25">
      <c r="A366" s="169"/>
      <c r="B366" s="189"/>
      <c r="C366" s="185"/>
      <c r="D366" s="191"/>
      <c r="E366" s="191"/>
      <c r="F366" s="191"/>
      <c r="G366" s="191"/>
      <c r="H366" s="236"/>
      <c r="I366" s="225"/>
      <c r="J366" s="175"/>
    </row>
    <row r="367" spans="1:10" s="176" customFormat="1" ht="21" customHeight="1" x14ac:dyDescent="0.25">
      <c r="A367" s="40"/>
      <c r="B367" s="167" t="s">
        <v>39</v>
      </c>
      <c r="C367" s="185" t="s">
        <v>638</v>
      </c>
      <c r="D367" s="191">
        <f>D368</f>
        <v>1125000000</v>
      </c>
      <c r="E367" s="191"/>
      <c r="F367" s="191">
        <f t="shared" ref="F367:G367" si="129">F368</f>
        <v>0</v>
      </c>
      <c r="G367" s="191">
        <f t="shared" si="129"/>
        <v>0</v>
      </c>
      <c r="H367" s="236">
        <f>G367/D367</f>
        <v>0</v>
      </c>
      <c r="I367" s="225" t="s">
        <v>218</v>
      </c>
      <c r="J367" s="175"/>
    </row>
    <row r="368" spans="1:10" s="176" customFormat="1" ht="21" customHeight="1" x14ac:dyDescent="0.25">
      <c r="A368" s="40"/>
      <c r="B368" s="190" t="s">
        <v>637</v>
      </c>
      <c r="C368" s="183" t="s">
        <v>639</v>
      </c>
      <c r="D368" s="192">
        <v>1125000000</v>
      </c>
      <c r="E368" s="192"/>
      <c r="F368" s="192"/>
      <c r="G368" s="192">
        <f>E368+F368</f>
        <v>0</v>
      </c>
      <c r="H368" s="24">
        <f>G368/D368</f>
        <v>0</v>
      </c>
      <c r="I368" s="225"/>
      <c r="J368" s="175"/>
    </row>
    <row r="369" spans="1:10" s="176" customFormat="1" ht="21" customHeight="1" x14ac:dyDescent="0.25">
      <c r="A369" s="40"/>
      <c r="B369" s="190"/>
      <c r="C369" s="183"/>
      <c r="D369" s="192"/>
      <c r="E369" s="192"/>
      <c r="F369" s="192"/>
      <c r="G369" s="192"/>
      <c r="H369" s="24"/>
      <c r="I369" s="225"/>
      <c r="J369" s="175"/>
    </row>
    <row r="370" spans="1:10" s="176" customFormat="1" ht="21" customHeight="1" x14ac:dyDescent="0.25">
      <c r="A370" s="40"/>
      <c r="B370" s="167" t="s">
        <v>19</v>
      </c>
      <c r="C370" s="185" t="s">
        <v>217</v>
      </c>
      <c r="D370" s="191">
        <f>D371</f>
        <v>0</v>
      </c>
      <c r="E370" s="191"/>
      <c r="F370" s="191">
        <f t="shared" ref="F370:G370" si="130">F371</f>
        <v>0</v>
      </c>
      <c r="G370" s="191">
        <f t="shared" si="130"/>
        <v>0</v>
      </c>
      <c r="H370" s="236" t="e">
        <f>G370/D370</f>
        <v>#DIV/0!</v>
      </c>
      <c r="I370" s="225" t="s">
        <v>218</v>
      </c>
      <c r="J370" s="175"/>
    </row>
    <row r="371" spans="1:10" s="176" customFormat="1" ht="21" customHeight="1" x14ac:dyDescent="0.25">
      <c r="A371" s="40"/>
      <c r="B371" s="190" t="s">
        <v>547</v>
      </c>
      <c r="C371" s="183" t="s">
        <v>217</v>
      </c>
      <c r="D371" s="192"/>
      <c r="E371" s="192"/>
      <c r="F371" s="192"/>
      <c r="G371" s="192">
        <f>E371+F371</f>
        <v>0</v>
      </c>
      <c r="H371" s="24" t="e">
        <f>G371/D371</f>
        <v>#DIV/0!</v>
      </c>
      <c r="I371" s="225"/>
      <c r="J371" s="175"/>
    </row>
    <row r="372" spans="1:10" s="176" customFormat="1" ht="21" customHeight="1" x14ac:dyDescent="0.25">
      <c r="A372" s="40"/>
      <c r="B372" s="190"/>
      <c r="C372" s="183"/>
      <c r="D372" s="192"/>
      <c r="E372" s="192"/>
      <c r="F372" s="192"/>
      <c r="G372" s="192"/>
      <c r="H372" s="236"/>
      <c r="I372" s="225"/>
      <c r="J372" s="175"/>
    </row>
    <row r="373" spans="1:10" s="176" customFormat="1" ht="21" customHeight="1" x14ac:dyDescent="0.25">
      <c r="A373" s="40"/>
      <c r="B373" s="167" t="s">
        <v>39</v>
      </c>
      <c r="C373" s="185" t="s">
        <v>219</v>
      </c>
      <c r="D373" s="191">
        <f>D374</f>
        <v>0</v>
      </c>
      <c r="E373" s="191"/>
      <c r="F373" s="191">
        <f t="shared" ref="F373:G373" si="131">F374</f>
        <v>0</v>
      </c>
      <c r="G373" s="191">
        <f t="shared" si="131"/>
        <v>0</v>
      </c>
      <c r="H373" s="236" t="e">
        <f>G373/D373</f>
        <v>#DIV/0!</v>
      </c>
      <c r="I373" s="225" t="s">
        <v>218</v>
      </c>
      <c r="J373" s="175"/>
    </row>
    <row r="374" spans="1:10" s="176" customFormat="1" ht="21" customHeight="1" x14ac:dyDescent="0.25">
      <c r="A374" s="40"/>
      <c r="B374" s="190" t="s">
        <v>548</v>
      </c>
      <c r="C374" s="183" t="s">
        <v>219</v>
      </c>
      <c r="D374" s="192"/>
      <c r="E374" s="192"/>
      <c r="F374" s="192"/>
      <c r="G374" s="192">
        <f>E374+F374</f>
        <v>0</v>
      </c>
      <c r="H374" s="24" t="e">
        <f>G374/D374</f>
        <v>#DIV/0!</v>
      </c>
      <c r="I374" s="225"/>
      <c r="J374" s="175"/>
    </row>
    <row r="375" spans="1:10" s="176" customFormat="1" ht="21" customHeight="1" x14ac:dyDescent="0.25">
      <c r="A375" s="40"/>
      <c r="B375" s="190"/>
      <c r="C375" s="183"/>
      <c r="D375" s="191"/>
      <c r="E375" s="191"/>
      <c r="F375" s="191"/>
      <c r="G375" s="192"/>
      <c r="H375" s="236"/>
      <c r="I375" s="225"/>
      <c r="J375" s="175"/>
    </row>
    <row r="376" spans="1:10" s="176" customFormat="1" x14ac:dyDescent="0.25">
      <c r="A376" s="40"/>
      <c r="B376" s="167" t="s">
        <v>46</v>
      </c>
      <c r="C376" s="35" t="s">
        <v>220</v>
      </c>
      <c r="D376" s="191">
        <f>SUM(D377)</f>
        <v>0</v>
      </c>
      <c r="E376" s="191"/>
      <c r="F376" s="191">
        <f t="shared" ref="F376:G376" si="132">SUM(F377)</f>
        <v>0</v>
      </c>
      <c r="G376" s="191">
        <f t="shared" si="132"/>
        <v>0</v>
      </c>
      <c r="H376" s="236" t="e">
        <f>G376/D376</f>
        <v>#DIV/0!</v>
      </c>
      <c r="I376" s="223"/>
      <c r="J376" s="175"/>
    </row>
    <row r="377" spans="1:10" s="176" customFormat="1" x14ac:dyDescent="0.25">
      <c r="A377" s="40"/>
      <c r="B377" s="190" t="s">
        <v>549</v>
      </c>
      <c r="C377" s="193" t="s">
        <v>220</v>
      </c>
      <c r="D377" s="192"/>
      <c r="E377" s="192"/>
      <c r="F377" s="192"/>
      <c r="G377" s="192">
        <f>E377+F377</f>
        <v>0</v>
      </c>
      <c r="H377" s="24" t="e">
        <f>G377/D377</f>
        <v>#DIV/0!</v>
      </c>
      <c r="I377" s="225" t="s">
        <v>218</v>
      </c>
      <c r="J377" s="175"/>
    </row>
    <row r="378" spans="1:10" s="176" customFormat="1" x14ac:dyDescent="0.25">
      <c r="A378" s="40"/>
      <c r="B378" s="190"/>
      <c r="C378" s="193"/>
      <c r="D378" s="192"/>
      <c r="E378" s="192"/>
      <c r="F378" s="192"/>
      <c r="G378" s="192"/>
      <c r="H378" s="24"/>
      <c r="I378" s="225"/>
      <c r="J378" s="175"/>
    </row>
    <row r="379" spans="1:10" s="176" customFormat="1" x14ac:dyDescent="0.25">
      <c r="A379" s="40"/>
      <c r="B379" s="167" t="s">
        <v>8</v>
      </c>
      <c r="C379" s="35" t="s">
        <v>221</v>
      </c>
      <c r="D379" s="191">
        <f>SUM(D380)</f>
        <v>0</v>
      </c>
      <c r="E379" s="191"/>
      <c r="F379" s="191">
        <f t="shared" ref="F379:G379" si="133">SUM(F380)</f>
        <v>0</v>
      </c>
      <c r="G379" s="191">
        <f t="shared" si="133"/>
        <v>0</v>
      </c>
      <c r="H379" s="236" t="e">
        <f>G379/D379</f>
        <v>#DIV/0!</v>
      </c>
      <c r="I379" s="223"/>
      <c r="J379" s="175"/>
    </row>
    <row r="380" spans="1:10" s="176" customFormat="1" x14ac:dyDescent="0.25">
      <c r="A380" s="40"/>
      <c r="B380" s="190" t="s">
        <v>550</v>
      </c>
      <c r="C380" s="193" t="s">
        <v>221</v>
      </c>
      <c r="D380" s="192"/>
      <c r="E380" s="192"/>
      <c r="F380" s="192"/>
      <c r="G380" s="192">
        <f>E380+F380</f>
        <v>0</v>
      </c>
      <c r="H380" s="24" t="e">
        <f>G380/D380</f>
        <v>#DIV/0!</v>
      </c>
      <c r="I380" s="225" t="s">
        <v>218</v>
      </c>
      <c r="J380" s="175"/>
    </row>
    <row r="381" spans="1:10" s="176" customFormat="1" x14ac:dyDescent="0.25">
      <c r="A381" s="40"/>
      <c r="B381" s="190"/>
      <c r="C381" s="193"/>
      <c r="D381" s="192"/>
      <c r="E381" s="192"/>
      <c r="F381" s="192"/>
      <c r="G381" s="192"/>
      <c r="H381" s="24"/>
      <c r="I381" s="225"/>
      <c r="J381" s="175"/>
    </row>
    <row r="382" spans="1:10" s="176" customFormat="1" x14ac:dyDescent="0.25">
      <c r="A382" s="40"/>
      <c r="B382" s="167" t="s">
        <v>49</v>
      </c>
      <c r="C382" s="35" t="s">
        <v>222</v>
      </c>
      <c r="D382" s="191">
        <f>SUM(D383:D388)</f>
        <v>0</v>
      </c>
      <c r="E382" s="191"/>
      <c r="F382" s="191">
        <f t="shared" ref="F382:G382" si="134">SUM(F383:F388)</f>
        <v>0</v>
      </c>
      <c r="G382" s="191">
        <f t="shared" si="134"/>
        <v>0</v>
      </c>
      <c r="H382" s="236" t="e">
        <f>G382/D382</f>
        <v>#DIV/0!</v>
      </c>
      <c r="I382" s="227"/>
      <c r="J382" s="175"/>
    </row>
    <row r="383" spans="1:10" s="176" customFormat="1" x14ac:dyDescent="0.25">
      <c r="A383" s="40"/>
      <c r="B383" s="190" t="s">
        <v>551</v>
      </c>
      <c r="C383" s="193" t="s">
        <v>223</v>
      </c>
      <c r="D383" s="192"/>
      <c r="E383" s="192"/>
      <c r="F383" s="192"/>
      <c r="G383" s="192">
        <f>E383+F383</f>
        <v>0</v>
      </c>
      <c r="H383" s="24" t="e">
        <f>G383/D383</f>
        <v>#DIV/0!</v>
      </c>
      <c r="I383" s="225" t="s">
        <v>218</v>
      </c>
      <c r="J383" s="175"/>
    </row>
    <row r="384" spans="1:10" s="176" customFormat="1" x14ac:dyDescent="0.25">
      <c r="A384" s="40"/>
      <c r="B384" s="190" t="s">
        <v>552</v>
      </c>
      <c r="C384" s="193" t="s">
        <v>227</v>
      </c>
      <c r="D384" s="192"/>
      <c r="E384" s="192"/>
      <c r="F384" s="192"/>
      <c r="G384" s="192">
        <f t="shared" ref="G384:G391" si="135">E384+F384</f>
        <v>0</v>
      </c>
      <c r="H384" s="24" t="e">
        <f>G384/D384</f>
        <v>#DIV/0!</v>
      </c>
      <c r="I384" s="225" t="s">
        <v>216</v>
      </c>
      <c r="J384" s="175"/>
    </row>
    <row r="385" spans="1:10" s="176" customFormat="1" x14ac:dyDescent="0.25">
      <c r="A385" s="40"/>
      <c r="B385" s="190" t="s">
        <v>553</v>
      </c>
      <c r="C385" s="193" t="s">
        <v>224</v>
      </c>
      <c r="D385" s="192"/>
      <c r="E385" s="192"/>
      <c r="F385" s="192"/>
      <c r="G385" s="192">
        <f t="shared" si="135"/>
        <v>0</v>
      </c>
      <c r="H385" s="24" t="e">
        <f>G385/D385</f>
        <v>#DIV/0!</v>
      </c>
      <c r="I385" s="225" t="s">
        <v>218</v>
      </c>
      <c r="J385" s="175"/>
    </row>
    <row r="386" spans="1:10" s="176" customFormat="1" ht="18" hidden="1" customHeight="1" x14ac:dyDescent="0.25">
      <c r="A386" s="40"/>
      <c r="B386" s="52"/>
      <c r="C386" s="193" t="s">
        <v>225</v>
      </c>
      <c r="D386" s="192"/>
      <c r="E386" s="192"/>
      <c r="F386" s="192"/>
      <c r="G386" s="192">
        <f t="shared" si="135"/>
        <v>0</v>
      </c>
      <c r="H386" s="24">
        <v>0</v>
      </c>
      <c r="I386" s="223"/>
      <c r="J386" s="175"/>
    </row>
    <row r="387" spans="1:10" s="176" customFormat="1" x14ac:dyDescent="0.25">
      <c r="A387" s="40"/>
      <c r="B387" s="190" t="s">
        <v>554</v>
      </c>
      <c r="C387" s="193" t="s">
        <v>226</v>
      </c>
      <c r="D387" s="192"/>
      <c r="E387" s="192"/>
      <c r="F387" s="192"/>
      <c r="G387" s="192">
        <f t="shared" si="135"/>
        <v>0</v>
      </c>
      <c r="H387" s="24" t="e">
        <f>G387/D387</f>
        <v>#DIV/0!</v>
      </c>
      <c r="I387" s="225" t="s">
        <v>216</v>
      </c>
      <c r="J387" s="175"/>
    </row>
    <row r="388" spans="1:10" s="176" customFormat="1" x14ac:dyDescent="0.25">
      <c r="A388" s="40"/>
      <c r="B388" s="190" t="s">
        <v>386</v>
      </c>
      <c r="C388" s="193" t="s">
        <v>228</v>
      </c>
      <c r="D388" s="192"/>
      <c r="E388" s="192"/>
      <c r="F388" s="192"/>
      <c r="G388" s="192">
        <f t="shared" si="135"/>
        <v>0</v>
      </c>
      <c r="H388" s="24"/>
      <c r="I388" s="225" t="s">
        <v>216</v>
      </c>
      <c r="J388" s="175"/>
    </row>
    <row r="389" spans="1:10" s="176" customFormat="1" x14ac:dyDescent="0.25">
      <c r="A389" s="40"/>
      <c r="B389" s="190"/>
      <c r="C389" s="193"/>
      <c r="D389" s="192"/>
      <c r="E389" s="192"/>
      <c r="F389" s="192"/>
      <c r="G389" s="192">
        <f t="shared" si="135"/>
        <v>0</v>
      </c>
      <c r="H389" s="24"/>
      <c r="I389" s="225"/>
      <c r="J389" s="175"/>
    </row>
    <row r="390" spans="1:10" s="176" customFormat="1" x14ac:dyDescent="0.25">
      <c r="A390" s="40"/>
      <c r="B390" s="167" t="s">
        <v>53</v>
      </c>
      <c r="C390" s="35" t="s">
        <v>229</v>
      </c>
      <c r="D390" s="191">
        <f>SUM(D391)</f>
        <v>0</v>
      </c>
      <c r="E390" s="191"/>
      <c r="F390" s="191">
        <f>SUM(F391)</f>
        <v>0</v>
      </c>
      <c r="G390" s="192">
        <f t="shared" si="135"/>
        <v>0</v>
      </c>
      <c r="H390" s="253" t="e">
        <f>G390/D390</f>
        <v>#DIV/0!</v>
      </c>
      <c r="I390" s="223"/>
      <c r="J390" s="175"/>
    </row>
    <row r="391" spans="1:10" s="176" customFormat="1" x14ac:dyDescent="0.25">
      <c r="A391" s="40"/>
      <c r="B391" s="190" t="s">
        <v>387</v>
      </c>
      <c r="C391" s="193" t="s">
        <v>229</v>
      </c>
      <c r="D391" s="192">
        <v>0</v>
      </c>
      <c r="E391" s="192"/>
      <c r="F391" s="192"/>
      <c r="G391" s="192">
        <f t="shared" si="135"/>
        <v>0</v>
      </c>
      <c r="H391" s="252" t="e">
        <f>G391/D391</f>
        <v>#DIV/0!</v>
      </c>
      <c r="I391" s="225" t="s">
        <v>216</v>
      </c>
      <c r="J391" s="175"/>
    </row>
    <row r="392" spans="1:10" s="176" customFormat="1" x14ac:dyDescent="0.25">
      <c r="A392" s="40"/>
      <c r="B392" s="190"/>
      <c r="C392" s="193"/>
      <c r="D392" s="192"/>
      <c r="E392" s="192"/>
      <c r="F392" s="192"/>
      <c r="G392" s="192"/>
      <c r="H392" s="24"/>
      <c r="I392" s="225"/>
      <c r="J392" s="175"/>
    </row>
    <row r="393" spans="1:10" s="176" customFormat="1" x14ac:dyDescent="0.25">
      <c r="A393" s="40"/>
      <c r="B393" s="167" t="s">
        <v>62</v>
      </c>
      <c r="C393" s="35" t="s">
        <v>230</v>
      </c>
      <c r="D393" s="191">
        <f>SUM(D394)</f>
        <v>0</v>
      </c>
      <c r="E393" s="191"/>
      <c r="F393" s="191">
        <f t="shared" ref="F393:G393" si="136">SUM(F394)</f>
        <v>0</v>
      </c>
      <c r="G393" s="191">
        <f t="shared" si="136"/>
        <v>0</v>
      </c>
      <c r="H393" s="236" t="e">
        <f>G393/D393</f>
        <v>#DIV/0!</v>
      </c>
      <c r="I393" s="223"/>
      <c r="J393" s="175"/>
    </row>
    <row r="394" spans="1:10" s="176" customFormat="1" x14ac:dyDescent="0.25">
      <c r="A394" s="40"/>
      <c r="B394" s="190" t="s">
        <v>555</v>
      </c>
      <c r="C394" s="193" t="s">
        <v>230</v>
      </c>
      <c r="D394" s="192"/>
      <c r="E394" s="192"/>
      <c r="F394" s="192"/>
      <c r="G394" s="192">
        <f>E394+F394</f>
        <v>0</v>
      </c>
      <c r="H394" s="24" t="e">
        <f>G394/D394</f>
        <v>#DIV/0!</v>
      </c>
      <c r="I394" s="225" t="s">
        <v>216</v>
      </c>
      <c r="J394" s="175"/>
    </row>
    <row r="395" spans="1:10" s="176" customFormat="1" x14ac:dyDescent="0.25">
      <c r="A395" s="40"/>
      <c r="B395" s="190"/>
      <c r="C395" s="193"/>
      <c r="D395" s="192"/>
      <c r="E395" s="192"/>
      <c r="F395" s="192"/>
      <c r="G395" s="192"/>
      <c r="H395" s="24"/>
      <c r="I395" s="225"/>
      <c r="J395" s="175"/>
    </row>
    <row r="396" spans="1:10" s="176" customFormat="1" x14ac:dyDescent="0.25">
      <c r="A396" s="40"/>
      <c r="B396" s="167" t="s">
        <v>66</v>
      </c>
      <c r="C396" s="35" t="s">
        <v>231</v>
      </c>
      <c r="D396" s="191">
        <f>SUM(D397)</f>
        <v>0</v>
      </c>
      <c r="E396" s="191"/>
      <c r="F396" s="191">
        <f t="shared" ref="F396:G396" si="137">SUM(F397)</f>
        <v>0</v>
      </c>
      <c r="G396" s="191">
        <f t="shared" si="137"/>
        <v>0</v>
      </c>
      <c r="H396" s="236" t="e">
        <f>G396/D396</f>
        <v>#DIV/0!</v>
      </c>
      <c r="I396" s="223"/>
      <c r="J396" s="175"/>
    </row>
    <row r="397" spans="1:10" s="176" customFormat="1" x14ac:dyDescent="0.25">
      <c r="A397" s="40"/>
      <c r="B397" s="190" t="s">
        <v>556</v>
      </c>
      <c r="C397" s="193" t="s">
        <v>231</v>
      </c>
      <c r="D397" s="192"/>
      <c r="E397" s="192"/>
      <c r="F397" s="192"/>
      <c r="G397" s="192">
        <f>E397+F397</f>
        <v>0</v>
      </c>
      <c r="H397" s="24" t="e">
        <f>G397/D397</f>
        <v>#DIV/0!</v>
      </c>
      <c r="I397" s="225" t="s">
        <v>216</v>
      </c>
      <c r="J397" s="175"/>
    </row>
    <row r="398" spans="1:10" s="176" customFormat="1" x14ac:dyDescent="0.25">
      <c r="A398" s="40"/>
      <c r="B398" s="190"/>
      <c r="C398" s="193"/>
      <c r="D398" s="192"/>
      <c r="E398" s="192"/>
      <c r="F398" s="192"/>
      <c r="G398" s="192"/>
      <c r="H398" s="24"/>
      <c r="I398" s="225"/>
      <c r="J398" s="175"/>
    </row>
    <row r="399" spans="1:10" s="176" customFormat="1" x14ac:dyDescent="0.25">
      <c r="A399" s="40"/>
      <c r="B399" s="167" t="s">
        <v>73</v>
      </c>
      <c r="C399" s="185" t="s">
        <v>232</v>
      </c>
      <c r="D399" s="191">
        <f>D400</f>
        <v>0</v>
      </c>
      <c r="E399" s="191"/>
      <c r="F399" s="191">
        <f t="shared" ref="F399:G399" si="138">SUM(F400)</f>
        <v>0</v>
      </c>
      <c r="G399" s="191">
        <f t="shared" si="138"/>
        <v>0</v>
      </c>
      <c r="H399" s="236" t="e">
        <f>G399/D399</f>
        <v>#DIV/0!</v>
      </c>
      <c r="I399" s="225"/>
      <c r="J399" s="175"/>
    </row>
    <row r="400" spans="1:10" s="176" customFormat="1" x14ac:dyDescent="0.25">
      <c r="A400" s="40"/>
      <c r="B400" s="190" t="s">
        <v>557</v>
      </c>
      <c r="C400" s="183" t="s">
        <v>232</v>
      </c>
      <c r="D400" s="192"/>
      <c r="E400" s="192"/>
      <c r="F400" s="192"/>
      <c r="G400" s="192">
        <f>E400+F400</f>
        <v>0</v>
      </c>
      <c r="H400" s="24" t="e">
        <f>G400/D400</f>
        <v>#DIV/0!</v>
      </c>
      <c r="I400" s="225" t="s">
        <v>216</v>
      </c>
      <c r="J400" s="175"/>
    </row>
    <row r="401" spans="1:14" s="176" customFormat="1" x14ac:dyDescent="0.25">
      <c r="A401" s="40"/>
      <c r="B401" s="190"/>
      <c r="C401" s="183"/>
      <c r="D401" s="192"/>
      <c r="E401" s="192"/>
      <c r="F401" s="192"/>
      <c r="G401" s="192"/>
      <c r="H401" s="24"/>
      <c r="I401" s="225"/>
      <c r="J401" s="175"/>
    </row>
    <row r="402" spans="1:14" s="176" customFormat="1" x14ac:dyDescent="0.25">
      <c r="A402" s="40"/>
      <c r="B402" s="167" t="s">
        <v>74</v>
      </c>
      <c r="C402" s="185" t="s">
        <v>233</v>
      </c>
      <c r="D402" s="191">
        <f>D403</f>
        <v>0</v>
      </c>
      <c r="E402" s="191"/>
      <c r="F402" s="191">
        <f t="shared" ref="F402:G402" si="139">SUM(F403)</f>
        <v>0</v>
      </c>
      <c r="G402" s="191">
        <f t="shared" si="139"/>
        <v>0</v>
      </c>
      <c r="H402" s="236" t="e">
        <f>G402/D402</f>
        <v>#DIV/0!</v>
      </c>
      <c r="I402" s="225"/>
      <c r="J402" s="175"/>
    </row>
    <row r="403" spans="1:14" s="176" customFormat="1" x14ac:dyDescent="0.25">
      <c r="A403" s="40"/>
      <c r="B403" s="190" t="s">
        <v>558</v>
      </c>
      <c r="C403" s="183" t="s">
        <v>233</v>
      </c>
      <c r="D403" s="192"/>
      <c r="E403" s="192"/>
      <c r="F403" s="192"/>
      <c r="G403" s="192">
        <f>E403+F403</f>
        <v>0</v>
      </c>
      <c r="H403" s="24" t="e">
        <f>G403/D403</f>
        <v>#DIV/0!</v>
      </c>
      <c r="I403" s="225" t="s">
        <v>216</v>
      </c>
      <c r="J403" s="175"/>
    </row>
    <row r="404" spans="1:14" s="176" customFormat="1" x14ac:dyDescent="0.25">
      <c r="A404" s="40"/>
      <c r="B404" s="22"/>
      <c r="C404" s="183"/>
      <c r="D404" s="192"/>
      <c r="E404" s="192"/>
      <c r="F404" s="192"/>
      <c r="G404" s="192"/>
      <c r="H404" s="24"/>
      <c r="I404" s="225"/>
      <c r="J404" s="175"/>
    </row>
    <row r="405" spans="1:14" s="176" customFormat="1" x14ac:dyDescent="0.25">
      <c r="A405" s="40"/>
      <c r="B405" s="167" t="s">
        <v>81</v>
      </c>
      <c r="C405" s="185" t="s">
        <v>234</v>
      </c>
      <c r="D405" s="191">
        <f>D406</f>
        <v>0</v>
      </c>
      <c r="E405" s="191"/>
      <c r="F405" s="191">
        <f t="shared" ref="F405:G405" si="140">SUM(F406)</f>
        <v>0</v>
      </c>
      <c r="G405" s="191">
        <f t="shared" si="140"/>
        <v>0</v>
      </c>
      <c r="H405" s="236" t="e">
        <f>G405/D405</f>
        <v>#DIV/0!</v>
      </c>
      <c r="I405" s="225"/>
      <c r="J405" s="175"/>
    </row>
    <row r="406" spans="1:14" s="176" customFormat="1" x14ac:dyDescent="0.25">
      <c r="A406" s="40"/>
      <c r="B406" s="190" t="s">
        <v>559</v>
      </c>
      <c r="C406" s="183" t="s">
        <v>234</v>
      </c>
      <c r="D406" s="192"/>
      <c r="E406" s="192"/>
      <c r="F406" s="192"/>
      <c r="G406" s="192">
        <f>E406+F406</f>
        <v>0</v>
      </c>
      <c r="H406" s="24" t="e">
        <f>G406/D406</f>
        <v>#DIV/0!</v>
      </c>
      <c r="I406" s="225" t="s">
        <v>216</v>
      </c>
      <c r="J406" s="175"/>
    </row>
    <row r="407" spans="1:14" s="176" customFormat="1" x14ac:dyDescent="0.25">
      <c r="A407" s="40"/>
      <c r="B407" s="22"/>
      <c r="C407" s="183"/>
      <c r="D407" s="192"/>
      <c r="E407" s="192"/>
      <c r="F407" s="192"/>
      <c r="G407" s="191"/>
      <c r="H407" s="236"/>
      <c r="I407" s="223"/>
      <c r="J407" s="175"/>
    </row>
    <row r="408" spans="1:14" s="176" customFormat="1" ht="36.75" customHeight="1" x14ac:dyDescent="0.25">
      <c r="A408" s="132" t="s">
        <v>91</v>
      </c>
      <c r="B408" s="133" t="s">
        <v>396</v>
      </c>
      <c r="C408" s="130" t="s">
        <v>236</v>
      </c>
      <c r="D408" s="131">
        <f>D409</f>
        <v>0</v>
      </c>
      <c r="E408" s="131"/>
      <c r="F408" s="131">
        <f t="shared" ref="F408:G409" si="141">F409</f>
        <v>0</v>
      </c>
      <c r="G408" s="131">
        <f t="shared" si="141"/>
        <v>0</v>
      </c>
      <c r="H408" s="239" t="e">
        <f>G408/D408</f>
        <v>#DIV/0!</v>
      </c>
      <c r="I408" s="225" t="s">
        <v>237</v>
      </c>
      <c r="J408" s="175"/>
    </row>
    <row r="409" spans="1:14" s="176" customFormat="1" ht="36.75" customHeight="1" x14ac:dyDescent="0.25">
      <c r="A409" s="122"/>
      <c r="B409" s="189" t="s">
        <v>397</v>
      </c>
      <c r="C409" s="35" t="s">
        <v>236</v>
      </c>
      <c r="D409" s="121">
        <f>D410</f>
        <v>0</v>
      </c>
      <c r="E409" s="121"/>
      <c r="F409" s="121">
        <f t="shared" si="141"/>
        <v>0</v>
      </c>
      <c r="G409" s="121">
        <f t="shared" si="141"/>
        <v>0</v>
      </c>
      <c r="H409" s="236" t="e">
        <f>G409/D409</f>
        <v>#DIV/0!</v>
      </c>
      <c r="I409" s="225"/>
      <c r="J409" s="175"/>
    </row>
    <row r="410" spans="1:14" s="176" customFormat="1" x14ac:dyDescent="0.25">
      <c r="A410" s="40"/>
      <c r="B410" s="189" t="s">
        <v>560</v>
      </c>
      <c r="C410" s="35" t="s">
        <v>236</v>
      </c>
      <c r="D410" s="121"/>
      <c r="E410" s="121"/>
      <c r="F410" s="121"/>
      <c r="G410" s="191">
        <f>E410+F410</f>
        <v>0</v>
      </c>
      <c r="H410" s="236" t="e">
        <f>G410/D410</f>
        <v>#DIV/0!</v>
      </c>
      <c r="I410" s="223"/>
      <c r="J410" s="175"/>
      <c r="N410" s="176" t="s">
        <v>580</v>
      </c>
    </row>
    <row r="411" spans="1:14" s="176" customFormat="1" ht="35.65" customHeight="1" x14ac:dyDescent="0.25">
      <c r="A411" s="40"/>
      <c r="B411" s="178"/>
      <c r="C411" s="54" t="s">
        <v>238</v>
      </c>
      <c r="D411" s="55"/>
      <c r="E411" s="55"/>
      <c r="F411" s="55"/>
      <c r="G411" s="192">
        <f>F411-D411</f>
        <v>0</v>
      </c>
      <c r="H411" s="24"/>
      <c r="I411" s="225"/>
      <c r="J411" s="175"/>
    </row>
    <row r="412" spans="1:14" s="176" customFormat="1" ht="37.15" customHeight="1" x14ac:dyDescent="0.25">
      <c r="A412" s="40"/>
      <c r="B412" s="178"/>
      <c r="C412" s="54" t="s">
        <v>239</v>
      </c>
      <c r="D412" s="55"/>
      <c r="E412" s="55"/>
      <c r="F412" s="55"/>
      <c r="G412" s="192">
        <f>F412-D412</f>
        <v>0</v>
      </c>
      <c r="H412" s="24"/>
      <c r="I412" s="225"/>
      <c r="J412" s="175"/>
    </row>
    <row r="413" spans="1:14" s="176" customFormat="1" ht="39" customHeight="1" x14ac:dyDescent="0.25">
      <c r="A413" s="40"/>
      <c r="B413" s="178"/>
      <c r="C413" s="54" t="s">
        <v>240</v>
      </c>
      <c r="D413" s="55"/>
      <c r="E413" s="55"/>
      <c r="F413" s="55"/>
      <c r="G413" s="192">
        <f>F413-D413</f>
        <v>0</v>
      </c>
      <c r="H413" s="24"/>
      <c r="I413" s="225"/>
      <c r="J413" s="175"/>
    </row>
    <row r="414" spans="1:14" s="176" customFormat="1" x14ac:dyDescent="0.25">
      <c r="A414" s="56"/>
      <c r="B414" s="57"/>
      <c r="C414" s="58"/>
      <c r="D414" s="192"/>
      <c r="E414" s="192"/>
      <c r="F414" s="192"/>
      <c r="G414" s="191"/>
      <c r="H414" s="236"/>
      <c r="I414" s="228"/>
      <c r="J414" s="175"/>
    </row>
    <row r="415" spans="1:14" s="176" customFormat="1" ht="25.5" customHeight="1" x14ac:dyDescent="0.25">
      <c r="A415" s="134" t="s">
        <v>417</v>
      </c>
      <c r="B415" s="135" t="s">
        <v>398</v>
      </c>
      <c r="C415" s="136" t="s">
        <v>399</v>
      </c>
      <c r="D415" s="137">
        <f>SUM(D416+D429)</f>
        <v>105229329081</v>
      </c>
      <c r="E415" s="137"/>
      <c r="F415" s="137">
        <f t="shared" ref="F415:G415" si="142">SUM(F416+F429)</f>
        <v>0</v>
      </c>
      <c r="G415" s="137">
        <f t="shared" si="142"/>
        <v>0</v>
      </c>
      <c r="H415" s="238">
        <f t="shared" ref="H415:H427" si="143">G415/D415</f>
        <v>0</v>
      </c>
      <c r="I415" s="229"/>
      <c r="J415" s="175"/>
    </row>
    <row r="416" spans="1:14" s="176" customFormat="1" ht="25.5" customHeight="1" x14ac:dyDescent="0.25">
      <c r="A416" s="169" t="s">
        <v>426</v>
      </c>
      <c r="B416" s="189" t="s">
        <v>400</v>
      </c>
      <c r="C416" s="185" t="s">
        <v>401</v>
      </c>
      <c r="D416" s="191">
        <f>D417</f>
        <v>105229329081</v>
      </c>
      <c r="E416" s="191"/>
      <c r="F416" s="191">
        <f t="shared" ref="F416:G416" si="144">F417</f>
        <v>0</v>
      </c>
      <c r="G416" s="191">
        <f t="shared" si="144"/>
        <v>0</v>
      </c>
      <c r="H416" s="236">
        <f t="shared" si="143"/>
        <v>0</v>
      </c>
      <c r="I416" s="230"/>
      <c r="J416" s="175"/>
    </row>
    <row r="417" spans="1:10" s="176" customFormat="1" ht="25.5" customHeight="1" x14ac:dyDescent="0.25">
      <c r="A417" s="169"/>
      <c r="B417" s="189" t="s">
        <v>402</v>
      </c>
      <c r="C417" s="185" t="s">
        <v>403</v>
      </c>
      <c r="D417" s="191">
        <f>SUM(D418:D427)</f>
        <v>105229329081</v>
      </c>
      <c r="E417" s="191"/>
      <c r="F417" s="191">
        <f t="shared" ref="F417:G417" si="145">SUM(F418:F427)</f>
        <v>0</v>
      </c>
      <c r="G417" s="191">
        <f t="shared" si="145"/>
        <v>0</v>
      </c>
      <c r="H417" s="236">
        <f t="shared" si="143"/>
        <v>0</v>
      </c>
      <c r="I417" s="230"/>
      <c r="J417" s="175"/>
    </row>
    <row r="418" spans="1:10" s="176" customFormat="1" ht="25.5" customHeight="1" x14ac:dyDescent="0.25">
      <c r="A418" s="184" t="s">
        <v>89</v>
      </c>
      <c r="B418" s="190" t="s">
        <v>561</v>
      </c>
      <c r="C418" s="183" t="s">
        <v>244</v>
      </c>
      <c r="D418" s="178">
        <v>26706000000</v>
      </c>
      <c r="E418" s="178"/>
      <c r="F418" s="178"/>
      <c r="G418" s="192">
        <f>E418+F418</f>
        <v>0</v>
      </c>
      <c r="H418" s="24">
        <f t="shared" si="143"/>
        <v>0</v>
      </c>
      <c r="I418" s="231"/>
      <c r="J418" s="175"/>
    </row>
    <row r="419" spans="1:10" s="176" customFormat="1" ht="25.5" customHeight="1" x14ac:dyDescent="0.25">
      <c r="A419" s="188"/>
      <c r="B419" s="178"/>
      <c r="C419" s="193" t="s">
        <v>664</v>
      </c>
      <c r="D419" s="55"/>
      <c r="E419" s="55"/>
      <c r="F419" s="55"/>
      <c r="G419" s="192">
        <f t="shared" ref="G419:G427" si="146">E419+F419</f>
        <v>0</v>
      </c>
      <c r="H419" s="24" t="e">
        <f t="shared" si="143"/>
        <v>#DIV/0!</v>
      </c>
      <c r="I419" s="231"/>
      <c r="J419" s="175"/>
    </row>
    <row r="420" spans="1:10" s="176" customFormat="1" ht="25.5" customHeight="1" x14ac:dyDescent="0.25">
      <c r="A420" s="184" t="s">
        <v>91</v>
      </c>
      <c r="B420" s="190" t="s">
        <v>562</v>
      </c>
      <c r="C420" s="183" t="s">
        <v>245</v>
      </c>
      <c r="D420" s="178">
        <v>16184831606</v>
      </c>
      <c r="E420" s="178"/>
      <c r="F420" s="178"/>
      <c r="G420" s="192">
        <f t="shared" si="146"/>
        <v>0</v>
      </c>
      <c r="H420" s="24">
        <f t="shared" si="143"/>
        <v>0</v>
      </c>
      <c r="I420" s="231"/>
      <c r="J420" s="175"/>
    </row>
    <row r="421" spans="1:10" s="176" customFormat="1" ht="25.5" customHeight="1" x14ac:dyDescent="0.25">
      <c r="A421" s="188"/>
      <c r="B421" s="178"/>
      <c r="C421" s="193" t="s">
        <v>665</v>
      </c>
      <c r="D421" s="55"/>
      <c r="E421" s="55"/>
      <c r="F421" s="55"/>
      <c r="G421" s="192">
        <f t="shared" si="146"/>
        <v>0</v>
      </c>
      <c r="H421" s="24" t="e">
        <f t="shared" si="143"/>
        <v>#DIV/0!</v>
      </c>
      <c r="I421" s="232"/>
      <c r="J421" s="175"/>
    </row>
    <row r="422" spans="1:10" s="176" customFormat="1" ht="25.5" customHeight="1" x14ac:dyDescent="0.25">
      <c r="A422" s="184" t="s">
        <v>72</v>
      </c>
      <c r="B422" s="190" t="s">
        <v>563</v>
      </c>
      <c r="C422" s="183" t="s">
        <v>246</v>
      </c>
      <c r="D422" s="178">
        <v>45000000000</v>
      </c>
      <c r="E422" s="178"/>
      <c r="F422" s="178"/>
      <c r="G422" s="192">
        <f t="shared" si="146"/>
        <v>0</v>
      </c>
      <c r="H422" s="24">
        <f t="shared" si="143"/>
        <v>0</v>
      </c>
      <c r="I422" s="232"/>
      <c r="J422" s="175"/>
    </row>
    <row r="423" spans="1:10" s="176" customFormat="1" ht="25.5" customHeight="1" x14ac:dyDescent="0.25">
      <c r="A423" s="188"/>
      <c r="B423" s="178"/>
      <c r="C423" s="193" t="s">
        <v>666</v>
      </c>
      <c r="D423" s="55"/>
      <c r="E423" s="55"/>
      <c r="F423" s="55"/>
      <c r="G423" s="192">
        <f t="shared" si="146"/>
        <v>0</v>
      </c>
      <c r="H423" s="24" t="e">
        <f t="shared" si="143"/>
        <v>#DIV/0!</v>
      </c>
      <c r="I423" s="231"/>
      <c r="J423" s="175"/>
    </row>
    <row r="424" spans="1:10" s="176" customFormat="1" ht="25.5" customHeight="1" x14ac:dyDescent="0.25">
      <c r="A424" s="184" t="s">
        <v>168</v>
      </c>
      <c r="B424" s="190" t="s">
        <v>564</v>
      </c>
      <c r="C424" s="183" t="s">
        <v>247</v>
      </c>
      <c r="D424" s="192">
        <v>1534998000</v>
      </c>
      <c r="E424" s="192"/>
      <c r="F424" s="192"/>
      <c r="G424" s="192">
        <f t="shared" si="146"/>
        <v>0</v>
      </c>
      <c r="H424" s="24">
        <f t="shared" si="143"/>
        <v>0</v>
      </c>
      <c r="I424" s="233"/>
      <c r="J424" s="175"/>
    </row>
    <row r="425" spans="1:10" s="176" customFormat="1" ht="25.5" customHeight="1" x14ac:dyDescent="0.25">
      <c r="A425" s="188"/>
      <c r="B425" s="178"/>
      <c r="C425" s="193" t="s">
        <v>667</v>
      </c>
      <c r="D425" s="55"/>
      <c r="E425" s="55"/>
      <c r="F425" s="55"/>
      <c r="G425" s="192">
        <f t="shared" si="146"/>
        <v>0</v>
      </c>
      <c r="H425" s="24" t="e">
        <f t="shared" si="143"/>
        <v>#DIV/0!</v>
      </c>
      <c r="I425" s="232"/>
      <c r="J425" s="175"/>
    </row>
    <row r="426" spans="1:10" s="176" customFormat="1" ht="25.5" customHeight="1" x14ac:dyDescent="0.25">
      <c r="A426" s="184" t="s">
        <v>404</v>
      </c>
      <c r="B426" s="190" t="s">
        <v>565</v>
      </c>
      <c r="C426" s="183" t="s">
        <v>248</v>
      </c>
      <c r="D426" s="178">
        <v>15803499475</v>
      </c>
      <c r="E426" s="178"/>
      <c r="F426" s="178"/>
      <c r="G426" s="192">
        <f t="shared" si="146"/>
        <v>0</v>
      </c>
      <c r="H426" s="24">
        <f t="shared" si="143"/>
        <v>0</v>
      </c>
      <c r="I426" s="232"/>
      <c r="J426" s="175"/>
    </row>
    <row r="427" spans="1:10" s="176" customFormat="1" ht="25.5" customHeight="1" x14ac:dyDescent="0.25">
      <c r="A427" s="188"/>
      <c r="B427" s="178"/>
      <c r="C427" s="193" t="s">
        <v>668</v>
      </c>
      <c r="D427" s="55"/>
      <c r="E427" s="55"/>
      <c r="F427" s="55"/>
      <c r="G427" s="192">
        <f t="shared" si="146"/>
        <v>0</v>
      </c>
      <c r="H427" s="24" t="e">
        <f t="shared" si="143"/>
        <v>#DIV/0!</v>
      </c>
      <c r="I427" s="231"/>
      <c r="J427" s="175"/>
    </row>
    <row r="428" spans="1:10" s="176" customFormat="1" ht="25.5" customHeight="1" x14ac:dyDescent="0.25">
      <c r="A428" s="188"/>
      <c r="B428" s="178"/>
      <c r="C428" s="193"/>
      <c r="D428" s="55"/>
      <c r="E428" s="55"/>
      <c r="F428" s="55"/>
      <c r="G428" s="192"/>
      <c r="H428" s="24"/>
      <c r="I428" s="231"/>
      <c r="J428" s="175"/>
    </row>
    <row r="429" spans="1:10" s="176" customFormat="1" ht="25.5" customHeight="1" x14ac:dyDescent="0.25">
      <c r="A429" s="169" t="s">
        <v>163</v>
      </c>
      <c r="B429" s="189" t="s">
        <v>425</v>
      </c>
      <c r="C429" s="185" t="s">
        <v>428</v>
      </c>
      <c r="D429" s="53">
        <f>SUM(D430+D432)</f>
        <v>0</v>
      </c>
      <c r="E429" s="53"/>
      <c r="F429" s="53">
        <f t="shared" ref="F429:G429" si="147">SUM(F430+F432)</f>
        <v>0</v>
      </c>
      <c r="G429" s="53">
        <f t="shared" si="147"/>
        <v>0</v>
      </c>
      <c r="H429" s="236" t="e">
        <f>G429/D429</f>
        <v>#DIV/0!</v>
      </c>
      <c r="I429" s="231"/>
      <c r="J429" s="175"/>
    </row>
    <row r="430" spans="1:10" s="176" customFormat="1" ht="25.5" customHeight="1" x14ac:dyDescent="0.25">
      <c r="A430" s="188"/>
      <c r="B430" s="189" t="s">
        <v>429</v>
      </c>
      <c r="C430" s="185" t="s">
        <v>430</v>
      </c>
      <c r="D430" s="55">
        <f>D431</f>
        <v>0</v>
      </c>
      <c r="E430" s="55"/>
      <c r="F430" s="55">
        <f>F431</f>
        <v>0</v>
      </c>
      <c r="G430" s="192">
        <f>F430-D430</f>
        <v>0</v>
      </c>
      <c r="H430" s="24"/>
      <c r="I430" s="231"/>
      <c r="J430" s="175"/>
    </row>
    <row r="431" spans="1:10" s="176" customFormat="1" ht="25.5" customHeight="1" x14ac:dyDescent="0.25">
      <c r="A431" s="188"/>
      <c r="B431" s="189" t="s">
        <v>431</v>
      </c>
      <c r="C431" s="185" t="s">
        <v>432</v>
      </c>
      <c r="D431" s="55"/>
      <c r="E431" s="55"/>
      <c r="F431" s="55"/>
      <c r="G431" s="192">
        <f>F431-D431</f>
        <v>0</v>
      </c>
      <c r="H431" s="24"/>
      <c r="I431" s="231"/>
      <c r="J431" s="175"/>
    </row>
    <row r="432" spans="1:10" s="176" customFormat="1" ht="25.5" customHeight="1" x14ac:dyDescent="0.25">
      <c r="A432" s="188"/>
      <c r="B432" s="189" t="s">
        <v>433</v>
      </c>
      <c r="C432" s="185" t="s">
        <v>434</v>
      </c>
      <c r="D432" s="53">
        <f>D433+D435+D436</f>
        <v>0</v>
      </c>
      <c r="E432" s="53"/>
      <c r="F432" s="53">
        <f t="shared" ref="F432:G432" si="148">F433+F435+F436</f>
        <v>0</v>
      </c>
      <c r="G432" s="53">
        <f t="shared" si="148"/>
        <v>0</v>
      </c>
      <c r="H432" s="236" t="e">
        <f t="shared" ref="H432:H446" si="149">G432/D432</f>
        <v>#DIV/0!</v>
      </c>
      <c r="I432" s="231"/>
      <c r="J432" s="175"/>
    </row>
    <row r="433" spans="1:10" s="176" customFormat="1" ht="25.5" customHeight="1" x14ac:dyDescent="0.25">
      <c r="A433" s="188"/>
      <c r="B433" s="189" t="s">
        <v>566</v>
      </c>
      <c r="C433" s="185" t="s">
        <v>445</v>
      </c>
      <c r="D433" s="53">
        <f>D434</f>
        <v>0</v>
      </c>
      <c r="E433" s="53"/>
      <c r="F433" s="53">
        <f t="shared" ref="F433:G433" si="150">F434</f>
        <v>0</v>
      </c>
      <c r="G433" s="53">
        <f t="shared" si="150"/>
        <v>0</v>
      </c>
      <c r="H433" s="236" t="e">
        <f t="shared" si="149"/>
        <v>#DIV/0!</v>
      </c>
      <c r="I433" s="231"/>
      <c r="J433" s="175"/>
    </row>
    <row r="434" spans="1:10" s="176" customFormat="1" ht="25.5" customHeight="1" x14ac:dyDescent="0.25">
      <c r="A434" s="188"/>
      <c r="B434" s="189"/>
      <c r="C434" s="35" t="s">
        <v>602</v>
      </c>
      <c r="D434" s="53"/>
      <c r="E434" s="53"/>
      <c r="F434" s="53"/>
      <c r="G434" s="191">
        <f>E434+F434</f>
        <v>0</v>
      </c>
      <c r="H434" s="236" t="e">
        <f t="shared" si="149"/>
        <v>#DIV/0!</v>
      </c>
      <c r="I434" s="231"/>
      <c r="J434" s="175"/>
    </row>
    <row r="435" spans="1:10" s="176" customFormat="1" ht="25.5" customHeight="1" x14ac:dyDescent="0.25">
      <c r="A435" s="188"/>
      <c r="B435" s="189"/>
      <c r="C435" s="35" t="s">
        <v>603</v>
      </c>
      <c r="D435" s="53"/>
      <c r="E435" s="53"/>
      <c r="F435" s="53"/>
      <c r="G435" s="191">
        <f t="shared" ref="G435:G438" si="151">E435+F435</f>
        <v>0</v>
      </c>
      <c r="H435" s="236" t="e">
        <f t="shared" si="149"/>
        <v>#DIV/0!</v>
      </c>
      <c r="I435" s="231"/>
      <c r="J435" s="175"/>
    </row>
    <row r="436" spans="1:10" s="176" customFormat="1" ht="25.5" customHeight="1" x14ac:dyDescent="0.25">
      <c r="A436" s="188"/>
      <c r="B436" s="189"/>
      <c r="C436" s="35" t="s">
        <v>604</v>
      </c>
      <c r="D436" s="53">
        <f>SUM(D437:D438)</f>
        <v>0</v>
      </c>
      <c r="E436" s="53"/>
      <c r="F436" s="53">
        <f t="shared" ref="F436" si="152">SUM(F437:F438)</f>
        <v>0</v>
      </c>
      <c r="G436" s="191">
        <f t="shared" si="151"/>
        <v>0</v>
      </c>
      <c r="H436" s="236" t="e">
        <f t="shared" si="149"/>
        <v>#DIV/0!</v>
      </c>
      <c r="I436" s="231"/>
      <c r="J436" s="175"/>
    </row>
    <row r="437" spans="1:10" s="176" customFormat="1" ht="25.5" customHeight="1" x14ac:dyDescent="0.25">
      <c r="A437" s="188"/>
      <c r="B437" s="189"/>
      <c r="C437" s="193" t="s">
        <v>605</v>
      </c>
      <c r="D437" s="55"/>
      <c r="E437" s="55"/>
      <c r="F437" s="55"/>
      <c r="G437" s="191">
        <f t="shared" si="151"/>
        <v>0</v>
      </c>
      <c r="H437" s="24" t="e">
        <f t="shared" si="149"/>
        <v>#DIV/0!</v>
      </c>
      <c r="I437" s="231"/>
      <c r="J437" s="175"/>
    </row>
    <row r="438" spans="1:10" s="176" customFormat="1" ht="25.5" customHeight="1" x14ac:dyDescent="0.25">
      <c r="A438" s="188"/>
      <c r="B438" s="178"/>
      <c r="C438" s="193" t="s">
        <v>606</v>
      </c>
      <c r="D438" s="55"/>
      <c r="E438" s="55"/>
      <c r="F438" s="55"/>
      <c r="G438" s="191">
        <f t="shared" si="151"/>
        <v>0</v>
      </c>
      <c r="H438" s="24" t="e">
        <f t="shared" si="149"/>
        <v>#DIV/0!</v>
      </c>
      <c r="I438" s="231"/>
      <c r="J438" s="175"/>
    </row>
    <row r="439" spans="1:10" s="176" customFormat="1" ht="25.5" customHeight="1" x14ac:dyDescent="0.25">
      <c r="A439" s="129" t="s">
        <v>241</v>
      </c>
      <c r="B439" s="128" t="s">
        <v>242</v>
      </c>
      <c r="C439" s="41" t="s">
        <v>243</v>
      </c>
      <c r="D439" s="42">
        <f>D440</f>
        <v>0</v>
      </c>
      <c r="E439" s="42"/>
      <c r="F439" s="42">
        <f t="shared" ref="F439:G440" si="153">F440</f>
        <v>0</v>
      </c>
      <c r="G439" s="42">
        <f t="shared" si="153"/>
        <v>0</v>
      </c>
      <c r="H439" s="237" t="e">
        <f t="shared" si="149"/>
        <v>#DIV/0!</v>
      </c>
      <c r="I439" s="231"/>
      <c r="J439" s="175"/>
    </row>
    <row r="440" spans="1:10" s="176" customFormat="1" ht="41.25" customHeight="1" x14ac:dyDescent="0.25">
      <c r="A440" s="168" t="s">
        <v>166</v>
      </c>
      <c r="B440" s="189" t="s">
        <v>418</v>
      </c>
      <c r="C440" s="30" t="s">
        <v>419</v>
      </c>
      <c r="D440" s="191">
        <f>D441</f>
        <v>0</v>
      </c>
      <c r="E440" s="191"/>
      <c r="F440" s="191">
        <f t="shared" si="153"/>
        <v>0</v>
      </c>
      <c r="G440" s="191">
        <f t="shared" si="153"/>
        <v>0</v>
      </c>
      <c r="H440" s="236" t="e">
        <f t="shared" si="149"/>
        <v>#DIV/0!</v>
      </c>
      <c r="I440" s="231"/>
      <c r="J440" s="175"/>
    </row>
    <row r="441" spans="1:10" s="176" customFormat="1" ht="25.5" customHeight="1" x14ac:dyDescent="0.25">
      <c r="A441" s="169"/>
      <c r="B441" s="189" t="s">
        <v>420</v>
      </c>
      <c r="C441" s="185" t="s">
        <v>421</v>
      </c>
      <c r="D441" s="191">
        <f>D442+D456</f>
        <v>0</v>
      </c>
      <c r="E441" s="191"/>
      <c r="F441" s="191">
        <f t="shared" ref="F441:G441" si="154">F442+F456</f>
        <v>0</v>
      </c>
      <c r="G441" s="191">
        <f t="shared" si="154"/>
        <v>0</v>
      </c>
      <c r="H441" s="236" t="e">
        <f t="shared" si="149"/>
        <v>#DIV/0!</v>
      </c>
      <c r="I441" s="231"/>
      <c r="J441" s="175"/>
    </row>
    <row r="442" spans="1:10" s="176" customFormat="1" ht="25.5" customHeight="1" x14ac:dyDescent="0.25">
      <c r="A442" s="168" t="s">
        <v>89</v>
      </c>
      <c r="B442" s="189" t="s">
        <v>422</v>
      </c>
      <c r="C442" s="185" t="s">
        <v>423</v>
      </c>
      <c r="D442" s="191">
        <f>D443</f>
        <v>0</v>
      </c>
      <c r="E442" s="191"/>
      <c r="F442" s="191">
        <f t="shared" ref="F442:G442" si="155">F443</f>
        <v>0</v>
      </c>
      <c r="G442" s="191">
        <f t="shared" si="155"/>
        <v>0</v>
      </c>
      <c r="H442" s="236" t="e">
        <f t="shared" si="149"/>
        <v>#DIV/0!</v>
      </c>
      <c r="I442" s="231"/>
      <c r="J442" s="175"/>
    </row>
    <row r="443" spans="1:10" s="176" customFormat="1" ht="25.5" customHeight="1" x14ac:dyDescent="0.25">
      <c r="A443" s="169"/>
      <c r="B443" s="190" t="s">
        <v>424</v>
      </c>
      <c r="C443" s="183" t="s">
        <v>423</v>
      </c>
      <c r="D443" s="192"/>
      <c r="E443" s="192"/>
      <c r="F443" s="192"/>
      <c r="G443" s="192">
        <f>E443+F443</f>
        <v>0</v>
      </c>
      <c r="H443" s="24" t="e">
        <f t="shared" si="149"/>
        <v>#DIV/0!</v>
      </c>
      <c r="I443" s="231"/>
      <c r="J443" s="175"/>
    </row>
    <row r="444" spans="1:10" s="176" customFormat="1" ht="25.5" customHeight="1" x14ac:dyDescent="0.25">
      <c r="A444" s="169"/>
      <c r="B444" s="190"/>
      <c r="C444" s="193" t="s">
        <v>607</v>
      </c>
      <c r="D444" s="192"/>
      <c r="E444" s="192"/>
      <c r="F444" s="192"/>
      <c r="G444" s="192"/>
      <c r="H444" s="24" t="e">
        <f t="shared" si="149"/>
        <v>#DIV/0!</v>
      </c>
      <c r="I444" s="231"/>
      <c r="J444" s="175"/>
    </row>
    <row r="445" spans="1:10" s="176" customFormat="1" ht="25.5" customHeight="1" x14ac:dyDescent="0.25">
      <c r="A445" s="169"/>
      <c r="B445" s="190"/>
      <c r="C445" s="193" t="s">
        <v>608</v>
      </c>
      <c r="D445" s="192"/>
      <c r="E445" s="192"/>
      <c r="F445" s="192"/>
      <c r="G445" s="192"/>
      <c r="H445" s="24" t="e">
        <f t="shared" si="149"/>
        <v>#DIV/0!</v>
      </c>
      <c r="I445" s="231"/>
      <c r="J445" s="175"/>
    </row>
    <row r="446" spans="1:10" s="176" customFormat="1" ht="25.5" customHeight="1" x14ac:dyDescent="0.25">
      <c r="A446" s="169"/>
      <c r="B446" s="190"/>
      <c r="C446" s="193" t="s">
        <v>609</v>
      </c>
      <c r="D446" s="192"/>
      <c r="E446" s="192"/>
      <c r="F446" s="192"/>
      <c r="G446" s="192"/>
      <c r="H446" s="24" t="e">
        <f t="shared" si="149"/>
        <v>#DIV/0!</v>
      </c>
      <c r="I446" s="231"/>
      <c r="J446" s="175"/>
    </row>
    <row r="447" spans="1:10" s="176" customFormat="1" ht="25.5" customHeight="1" x14ac:dyDescent="0.25">
      <c r="A447" s="169"/>
      <c r="B447" s="190"/>
      <c r="C447" s="183" t="s">
        <v>610</v>
      </c>
      <c r="D447" s="192"/>
      <c r="E447" s="192"/>
      <c r="F447" s="192"/>
      <c r="G447" s="192"/>
      <c r="H447" s="24"/>
      <c r="I447" s="231"/>
      <c r="J447" s="175"/>
    </row>
    <row r="448" spans="1:10" s="176" customFormat="1" ht="25.5" customHeight="1" x14ac:dyDescent="0.25">
      <c r="A448" s="169"/>
      <c r="B448" s="190"/>
      <c r="C448" s="183" t="s">
        <v>611</v>
      </c>
      <c r="D448" s="192"/>
      <c r="E448" s="192"/>
      <c r="F448" s="192"/>
      <c r="G448" s="192"/>
      <c r="H448" s="24"/>
      <c r="I448" s="231"/>
      <c r="J448" s="175"/>
    </row>
    <row r="449" spans="1:10" s="176" customFormat="1" ht="25.5" customHeight="1" x14ac:dyDescent="0.25">
      <c r="A449" s="169"/>
      <c r="B449" s="190"/>
      <c r="C449" s="183" t="s">
        <v>612</v>
      </c>
      <c r="D449" s="192"/>
      <c r="E449" s="192"/>
      <c r="F449" s="192"/>
      <c r="G449" s="192"/>
      <c r="H449" s="24"/>
      <c r="I449" s="231"/>
      <c r="J449" s="175"/>
    </row>
    <row r="450" spans="1:10" s="176" customFormat="1" ht="25.5" customHeight="1" x14ac:dyDescent="0.25">
      <c r="A450" s="169"/>
      <c r="B450" s="190"/>
      <c r="C450" s="183" t="s">
        <v>613</v>
      </c>
      <c r="D450" s="192"/>
      <c r="E450" s="192"/>
      <c r="F450" s="192"/>
      <c r="G450" s="192"/>
      <c r="H450" s="24"/>
      <c r="I450" s="231"/>
      <c r="J450" s="175"/>
    </row>
    <row r="451" spans="1:10" s="176" customFormat="1" ht="25.5" customHeight="1" x14ac:dyDescent="0.25">
      <c r="A451" s="169"/>
      <c r="B451" s="190"/>
      <c r="C451" s="193" t="s">
        <v>614</v>
      </c>
      <c r="D451" s="192"/>
      <c r="E451" s="192"/>
      <c r="F451" s="192"/>
      <c r="G451" s="192"/>
      <c r="H451" s="24" t="e">
        <f>G451/D451</f>
        <v>#DIV/0!</v>
      </c>
      <c r="I451" s="231"/>
      <c r="J451" s="175"/>
    </row>
    <row r="452" spans="1:10" s="176" customFormat="1" ht="25.5" customHeight="1" x14ac:dyDescent="0.25">
      <c r="A452" s="169"/>
      <c r="B452" s="190"/>
      <c r="C452" s="183" t="s">
        <v>616</v>
      </c>
      <c r="D452" s="192"/>
      <c r="E452" s="192"/>
      <c r="F452" s="192"/>
      <c r="G452" s="192"/>
      <c r="H452" s="24"/>
      <c r="I452" s="231"/>
      <c r="J452" s="175"/>
    </row>
    <row r="453" spans="1:10" s="176" customFormat="1" ht="25.5" customHeight="1" x14ac:dyDescent="0.25">
      <c r="A453" s="169"/>
      <c r="B453" s="190"/>
      <c r="C453" s="183" t="s">
        <v>615</v>
      </c>
      <c r="D453" s="192"/>
      <c r="E453" s="192"/>
      <c r="F453" s="192"/>
      <c r="G453" s="192"/>
      <c r="H453" s="24"/>
      <c r="I453" s="231"/>
      <c r="J453" s="175"/>
    </row>
    <row r="454" spans="1:10" s="176" customFormat="1" ht="25.5" customHeight="1" x14ac:dyDescent="0.25">
      <c r="A454" s="169"/>
      <c r="B454" s="190"/>
      <c r="C454" s="183" t="s">
        <v>617</v>
      </c>
      <c r="D454" s="192"/>
      <c r="E454" s="192"/>
      <c r="F454" s="192"/>
      <c r="G454" s="192"/>
      <c r="H454" s="24"/>
      <c r="I454" s="231"/>
      <c r="J454" s="175"/>
    </row>
    <row r="455" spans="1:10" s="176" customFormat="1" ht="25.5" customHeight="1" x14ac:dyDescent="0.25">
      <c r="A455" s="169"/>
      <c r="B455" s="190"/>
      <c r="C455" s="183"/>
      <c r="D455" s="192"/>
      <c r="E455" s="192"/>
      <c r="F455" s="192"/>
      <c r="G455" s="192"/>
      <c r="H455" s="24"/>
      <c r="I455" s="231"/>
      <c r="J455" s="175"/>
    </row>
    <row r="456" spans="1:10" s="176" customFormat="1" ht="25.5" customHeight="1" x14ac:dyDescent="0.25">
      <c r="A456" s="168" t="s">
        <v>91</v>
      </c>
      <c r="B456" s="189" t="s">
        <v>618</v>
      </c>
      <c r="C456" s="185" t="s">
        <v>620</v>
      </c>
      <c r="D456" s="191">
        <f>D457</f>
        <v>0</v>
      </c>
      <c r="E456" s="191"/>
      <c r="F456" s="191">
        <f t="shared" ref="F456:G456" si="156">F457</f>
        <v>0</v>
      </c>
      <c r="G456" s="191">
        <f t="shared" si="156"/>
        <v>0</v>
      </c>
      <c r="H456" s="236" t="e">
        <f>G456/D456</f>
        <v>#DIV/0!</v>
      </c>
      <c r="I456" s="231"/>
      <c r="J456" s="175"/>
    </row>
    <row r="457" spans="1:10" s="176" customFormat="1" ht="32.25" customHeight="1" x14ac:dyDescent="0.25">
      <c r="A457" s="169"/>
      <c r="B457" s="190" t="s">
        <v>619</v>
      </c>
      <c r="C457" s="58" t="s">
        <v>621</v>
      </c>
      <c r="D457" s="192">
        <v>0</v>
      </c>
      <c r="E457" s="192"/>
      <c r="F457" s="192"/>
      <c r="G457" s="192"/>
      <c r="H457" s="24" t="e">
        <f>G457/D457</f>
        <v>#DIV/0!</v>
      </c>
      <c r="I457" s="231"/>
      <c r="J457" s="175"/>
    </row>
    <row r="458" spans="1:10" s="176" customFormat="1" ht="25.5" customHeight="1" x14ac:dyDescent="0.25">
      <c r="A458" s="169"/>
      <c r="B458" s="190"/>
      <c r="C458" s="183"/>
      <c r="D458" s="192"/>
      <c r="E458" s="192"/>
      <c r="F458" s="192"/>
      <c r="G458" s="192"/>
      <c r="H458" s="24"/>
      <c r="I458" s="231"/>
      <c r="J458" s="175"/>
    </row>
    <row r="459" spans="1:10" s="176" customFormat="1" ht="30.75" customHeight="1" thickBot="1" x14ac:dyDescent="0.3">
      <c r="A459" s="59"/>
      <c r="B459" s="60"/>
      <c r="C459" s="61" t="s">
        <v>249</v>
      </c>
      <c r="D459" s="62">
        <f>D11</f>
        <v>1141467482471</v>
      </c>
      <c r="E459" s="62">
        <f>E11</f>
        <v>154803417095.01999</v>
      </c>
      <c r="F459" s="62">
        <f t="shared" ref="F459:G459" si="157">F11</f>
        <v>70216854077.740005</v>
      </c>
      <c r="G459" s="62">
        <f t="shared" si="157"/>
        <v>225020271172.76001</v>
      </c>
      <c r="H459" s="242">
        <f>G459/D459</f>
        <v>0.19713244102726935</v>
      </c>
      <c r="I459" s="234"/>
      <c r="J459" s="175"/>
    </row>
    <row r="460" spans="1:10" s="176" customFormat="1" hidden="1" x14ac:dyDescent="0.25">
      <c r="A460" s="63"/>
      <c r="B460" s="64"/>
      <c r="C460" s="65"/>
      <c r="D460" s="66"/>
      <c r="E460" s="66"/>
      <c r="F460" s="66"/>
      <c r="G460" s="66"/>
      <c r="H460" s="66"/>
      <c r="I460" s="67" t="e">
        <f>SUM(F460/D460)</f>
        <v>#DIV/0!</v>
      </c>
      <c r="J460" s="175"/>
    </row>
    <row r="461" spans="1:10" s="176" customFormat="1" hidden="1" x14ac:dyDescent="0.25">
      <c r="A461" s="68" t="s">
        <v>250</v>
      </c>
      <c r="B461" s="69" t="s">
        <v>46</v>
      </c>
      <c r="C461" s="70" t="s">
        <v>251</v>
      </c>
      <c r="D461" s="71" t="e">
        <f>SUM(#REF!-#REF!)</f>
        <v>#REF!</v>
      </c>
      <c r="E461" s="71"/>
      <c r="F461" s="71" t="e">
        <f>SUM(#REF!-#REF!)</f>
        <v>#REF!</v>
      </c>
      <c r="G461" s="71"/>
      <c r="H461" s="71"/>
      <c r="I461" s="72" t="e">
        <f>SUM(F461/#REF!)</f>
        <v>#REF!</v>
      </c>
      <c r="J461" s="175"/>
    </row>
    <row r="462" spans="1:10" s="176" customFormat="1" hidden="1" x14ac:dyDescent="0.25">
      <c r="A462" s="68"/>
      <c r="B462" s="69" t="s">
        <v>252</v>
      </c>
      <c r="C462" s="70" t="s">
        <v>253</v>
      </c>
      <c r="D462" s="71" t="e">
        <f>SUM(#REF!-#REF!)</f>
        <v>#REF!</v>
      </c>
      <c r="E462" s="71"/>
      <c r="F462" s="71" t="e">
        <f>SUM(#REF!-#REF!)</f>
        <v>#REF!</v>
      </c>
      <c r="G462" s="71"/>
      <c r="H462" s="71"/>
      <c r="I462" s="72" t="e">
        <f>SUM(F462/#REF!)</f>
        <v>#REF!</v>
      </c>
      <c r="J462" s="175"/>
    </row>
    <row r="463" spans="1:10" s="176" customFormat="1" hidden="1" x14ac:dyDescent="0.25">
      <c r="A463" s="68"/>
      <c r="B463" s="69" t="s">
        <v>254</v>
      </c>
      <c r="C463" s="70" t="s">
        <v>255</v>
      </c>
      <c r="D463" s="71" t="e">
        <f>SUM(#REF!-#REF!)</f>
        <v>#REF!</v>
      </c>
      <c r="E463" s="71"/>
      <c r="F463" s="71" t="e">
        <f>SUM(#REF!-#REF!)</f>
        <v>#REF!</v>
      </c>
      <c r="G463" s="71"/>
      <c r="H463" s="71"/>
      <c r="I463" s="72" t="e">
        <f>SUM(F463/#REF!)</f>
        <v>#REF!</v>
      </c>
      <c r="J463" s="175"/>
    </row>
    <row r="464" spans="1:10" s="176" customFormat="1" hidden="1" x14ac:dyDescent="0.25">
      <c r="A464" s="68"/>
      <c r="B464" s="69" t="s">
        <v>256</v>
      </c>
      <c r="C464" s="70" t="s">
        <v>257</v>
      </c>
      <c r="D464" s="71" t="e">
        <f>SUM(#REF!-#REF!)</f>
        <v>#REF!</v>
      </c>
      <c r="E464" s="71"/>
      <c r="F464" s="71" t="e">
        <f>SUM(#REF!-#REF!)</f>
        <v>#REF!</v>
      </c>
      <c r="G464" s="71"/>
      <c r="H464" s="71"/>
      <c r="I464" s="72">
        <v>1</v>
      </c>
      <c r="J464" s="175"/>
    </row>
    <row r="465" spans="1:10" s="176" customFormat="1" hidden="1" x14ac:dyDescent="0.25">
      <c r="A465" s="68"/>
      <c r="B465" s="69" t="s">
        <v>258</v>
      </c>
      <c r="C465" s="70" t="s">
        <v>259</v>
      </c>
      <c r="D465" s="71" t="e">
        <f>SUM(#REF!-#REF!)</f>
        <v>#REF!</v>
      </c>
      <c r="E465" s="71"/>
      <c r="F465" s="71" t="e">
        <f>SUM(#REF!-#REF!)</f>
        <v>#REF!</v>
      </c>
      <c r="G465" s="71"/>
      <c r="H465" s="71"/>
      <c r="I465" s="72">
        <v>1</v>
      </c>
      <c r="J465" s="175"/>
    </row>
    <row r="466" spans="1:10" s="176" customFormat="1" hidden="1" x14ac:dyDescent="0.25">
      <c r="A466" s="68"/>
      <c r="B466" s="73" t="s">
        <v>260</v>
      </c>
      <c r="C466" s="74" t="s">
        <v>261</v>
      </c>
      <c r="D466" s="38" t="e">
        <f>SUM(#REF!-#REF!)</f>
        <v>#REF!</v>
      </c>
      <c r="E466" s="38"/>
      <c r="F466" s="38" t="e">
        <f>SUM(#REF!-#REF!)</f>
        <v>#REF!</v>
      </c>
      <c r="G466" s="38"/>
      <c r="H466" s="38"/>
      <c r="I466" s="75">
        <v>1</v>
      </c>
      <c r="J466" s="175"/>
    </row>
    <row r="467" spans="1:10" s="176" customFormat="1" hidden="1" x14ac:dyDescent="0.25">
      <c r="A467" s="68"/>
      <c r="B467" s="76"/>
      <c r="C467" s="74" t="s">
        <v>262</v>
      </c>
      <c r="D467" s="38" t="e">
        <f>SUM(#REF!-#REF!)</f>
        <v>#REF!</v>
      </c>
      <c r="E467" s="38"/>
      <c r="F467" s="38" t="e">
        <f>SUM(#REF!-#REF!)</f>
        <v>#REF!</v>
      </c>
      <c r="G467" s="38"/>
      <c r="H467" s="38"/>
      <c r="I467" s="75">
        <v>1</v>
      </c>
      <c r="J467" s="175"/>
    </row>
    <row r="468" spans="1:10" s="176" customFormat="1" ht="18" hidden="1" customHeight="1" x14ac:dyDescent="0.25">
      <c r="A468" s="68"/>
      <c r="B468" s="77"/>
      <c r="C468" s="78" t="s">
        <v>263</v>
      </c>
      <c r="D468" s="38" t="e">
        <f>SUM(#REF!-#REF!)</f>
        <v>#REF!</v>
      </c>
      <c r="E468" s="38"/>
      <c r="F468" s="38" t="e">
        <f>SUM(#REF!-#REF!)</f>
        <v>#REF!</v>
      </c>
      <c r="G468" s="38"/>
      <c r="H468" s="38"/>
      <c r="I468" s="72" t="e">
        <f>SUM(F468/#REF!)</f>
        <v>#REF!</v>
      </c>
      <c r="J468" s="175"/>
    </row>
    <row r="469" spans="1:10" s="175" customFormat="1" x14ac:dyDescent="0.25">
      <c r="A469" s="1"/>
      <c r="B469" s="79"/>
      <c r="C469" s="303"/>
      <c r="D469" s="80"/>
      <c r="E469" s="80"/>
      <c r="F469" s="80"/>
      <c r="G469" s="80"/>
      <c r="H469" s="80"/>
      <c r="I469" s="303"/>
    </row>
    <row r="470" spans="1:10" s="175" customFormat="1" x14ac:dyDescent="0.25">
      <c r="A470" s="1"/>
      <c r="B470" s="79"/>
      <c r="C470" s="303"/>
      <c r="D470" s="194"/>
      <c r="E470" s="194"/>
      <c r="F470" s="194"/>
      <c r="G470" s="194"/>
      <c r="H470" s="194"/>
    </row>
    <row r="471" spans="1:10" s="175" customFormat="1" x14ac:dyDescent="0.25">
      <c r="A471" s="287"/>
      <c r="B471" s="288"/>
      <c r="C471" s="303"/>
      <c r="G471" s="291" t="s">
        <v>645</v>
      </c>
      <c r="H471" s="194"/>
    </row>
    <row r="472" spans="1:10" s="175" customFormat="1" x14ac:dyDescent="0.25">
      <c r="A472" s="1"/>
      <c r="B472" s="79"/>
      <c r="C472" s="303"/>
      <c r="G472" s="291" t="s">
        <v>630</v>
      </c>
      <c r="H472" s="201"/>
    </row>
    <row r="473" spans="1:10" s="175" customFormat="1" x14ac:dyDescent="0.25">
      <c r="A473" s="1"/>
      <c r="B473" s="79"/>
      <c r="C473" s="303"/>
      <c r="G473" s="291"/>
      <c r="H473" s="195"/>
    </row>
    <row r="474" spans="1:10" s="175" customFormat="1" x14ac:dyDescent="0.25">
      <c r="A474" s="1"/>
      <c r="B474" s="79"/>
      <c r="C474" s="303"/>
      <c r="G474" s="291"/>
      <c r="H474" s="195"/>
    </row>
    <row r="475" spans="1:10" s="175" customFormat="1" x14ac:dyDescent="0.25">
      <c r="A475" s="1"/>
      <c r="B475" s="79"/>
      <c r="C475" s="303"/>
      <c r="G475" s="291"/>
      <c r="H475" s="195"/>
    </row>
    <row r="476" spans="1:10" s="175" customFormat="1" x14ac:dyDescent="0.25">
      <c r="A476" s="1"/>
      <c r="B476" s="79"/>
      <c r="C476" s="303"/>
      <c r="G476" s="292" t="s">
        <v>579</v>
      </c>
      <c r="H476" s="195"/>
    </row>
    <row r="477" spans="1:10" s="175" customFormat="1" x14ac:dyDescent="0.25">
      <c r="A477" s="1"/>
      <c r="B477" s="79"/>
      <c r="C477" s="303"/>
      <c r="G477" s="291" t="s">
        <v>577</v>
      </c>
      <c r="H477" s="201"/>
    </row>
    <row r="478" spans="1:10" x14ac:dyDescent="0.25">
      <c r="G478" s="291" t="s">
        <v>576</v>
      </c>
    </row>
  </sheetData>
  <mergeCells count="11">
    <mergeCell ref="I7:I8"/>
    <mergeCell ref="B2:C2"/>
    <mergeCell ref="B3:C3"/>
    <mergeCell ref="B4:C4"/>
    <mergeCell ref="B5:C5"/>
    <mergeCell ref="F6:H6"/>
    <mergeCell ref="A7:A8"/>
    <mergeCell ref="B7:B8"/>
    <mergeCell ref="C7:C8"/>
    <mergeCell ref="E7:G7"/>
    <mergeCell ref="H7:H8"/>
  </mergeCells>
  <pageMargins left="0.82" right="0.15748031496062992" top="1.27" bottom="0.47244094488188981" header="0.39370078740157483" footer="0.23622047244094491"/>
  <pageSetup paperSize="9" scale="55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N62"/>
  <sheetViews>
    <sheetView zoomScale="79" zoomScaleNormal="79" workbookViewId="0">
      <selection activeCell="K24" sqref="K24"/>
    </sheetView>
  </sheetViews>
  <sheetFormatPr defaultColWidth="9.28515625" defaultRowHeight="13.15" customHeight="1" x14ac:dyDescent="0.25"/>
  <cols>
    <col min="1" max="1" width="6.7109375" style="113" customWidth="1"/>
    <col min="2" max="2" width="16.140625" style="113" customWidth="1"/>
    <col min="3" max="3" width="56" style="81" customWidth="1"/>
    <col min="4" max="4" width="29.5703125" style="81" customWidth="1"/>
    <col min="5" max="5" width="29.140625" style="81" customWidth="1"/>
    <col min="6" max="6" width="28.42578125" style="81" customWidth="1"/>
    <col min="7" max="7" width="28.85546875" style="81" customWidth="1"/>
    <col min="8" max="8" width="12.85546875" style="81" bestFit="1" customWidth="1"/>
    <col min="9" max="9" width="27.7109375" style="271" bestFit="1" customWidth="1"/>
    <col min="10" max="10" width="33" style="271" customWidth="1"/>
    <col min="11" max="11" width="26.5703125" style="81" bestFit="1" customWidth="1"/>
    <col min="12" max="12" width="20.85546875" style="81" bestFit="1" customWidth="1"/>
    <col min="13" max="13" width="23.5703125" style="81" customWidth="1"/>
    <col min="14" max="14" width="19.5703125" style="81" bestFit="1" customWidth="1"/>
    <col min="15" max="30" width="9.28515625" style="81" customWidth="1"/>
    <col min="31" max="16384" width="9.28515625" style="81"/>
  </cols>
  <sheetData>
    <row r="2" spans="1:13" ht="17.25" customHeight="1" x14ac:dyDescent="0.25">
      <c r="B2" s="452" t="s">
        <v>0</v>
      </c>
      <c r="C2" s="452"/>
      <c r="D2" s="452"/>
      <c r="E2" s="5" t="s">
        <v>486</v>
      </c>
      <c r="F2" s="5"/>
      <c r="G2" s="175"/>
      <c r="H2" s="175"/>
    </row>
    <row r="3" spans="1:13" ht="17.25" customHeight="1" x14ac:dyDescent="0.25">
      <c r="B3" s="445" t="s">
        <v>480</v>
      </c>
      <c r="C3" s="445"/>
      <c r="D3" s="445"/>
      <c r="E3" s="5" t="s">
        <v>631</v>
      </c>
      <c r="F3" s="5"/>
      <c r="G3" s="175"/>
      <c r="H3" s="175"/>
    </row>
    <row r="4" spans="1:13" ht="23.25" customHeight="1" x14ac:dyDescent="0.25">
      <c r="B4" s="453" t="s">
        <v>481</v>
      </c>
      <c r="C4" s="453"/>
      <c r="D4" s="453"/>
      <c r="E4" s="6" t="s">
        <v>646</v>
      </c>
      <c r="F4" s="6"/>
      <c r="G4" s="175"/>
      <c r="H4" s="175"/>
    </row>
    <row r="5" spans="1:13" ht="23.25" customHeight="1" x14ac:dyDescent="0.25">
      <c r="B5" s="453"/>
      <c r="C5" s="453"/>
      <c r="D5" s="6"/>
      <c r="E5" s="6"/>
      <c r="F5" s="175"/>
      <c r="G5" s="175"/>
      <c r="H5" s="175"/>
    </row>
    <row r="6" spans="1:13" ht="21" customHeight="1" x14ac:dyDescent="0.25">
      <c r="B6" s="305"/>
      <c r="C6" s="305"/>
      <c r="D6" s="7"/>
      <c r="E6" s="7"/>
      <c r="F6" s="449"/>
      <c r="G6" s="449"/>
      <c r="H6" s="449"/>
    </row>
    <row r="7" spans="1:13" ht="21" customHeight="1" thickBot="1" x14ac:dyDescent="0.3">
      <c r="B7" s="305"/>
      <c r="C7" s="305"/>
      <c r="D7" s="7"/>
      <c r="E7" s="7"/>
      <c r="F7" s="449"/>
      <c r="G7" s="449"/>
      <c r="H7" s="449"/>
    </row>
    <row r="8" spans="1:13" s="83" customFormat="1" ht="23.25" customHeight="1" x14ac:dyDescent="0.25">
      <c r="A8" s="435" t="s">
        <v>2</v>
      </c>
      <c r="B8" s="437" t="s">
        <v>3</v>
      </c>
      <c r="C8" s="437" t="s">
        <v>4</v>
      </c>
      <c r="D8" s="202" t="s">
        <v>5</v>
      </c>
      <c r="E8" s="441" t="s">
        <v>475</v>
      </c>
      <c r="F8" s="441"/>
      <c r="G8" s="441"/>
      <c r="H8" s="454" t="s">
        <v>6</v>
      </c>
      <c r="I8" s="272"/>
      <c r="J8" s="272"/>
    </row>
    <row r="9" spans="1:13" s="83" customFormat="1" ht="23.25" customHeight="1" x14ac:dyDescent="0.25">
      <c r="A9" s="436"/>
      <c r="B9" s="438"/>
      <c r="C9" s="438"/>
      <c r="D9" s="203" t="s">
        <v>632</v>
      </c>
      <c r="E9" s="251" t="s">
        <v>476</v>
      </c>
      <c r="F9" s="251" t="s">
        <v>477</v>
      </c>
      <c r="G9" s="251" t="s">
        <v>478</v>
      </c>
      <c r="H9" s="455"/>
      <c r="I9" s="272"/>
      <c r="J9" s="272"/>
    </row>
    <row r="10" spans="1:13" ht="15.75" customHeight="1" x14ac:dyDescent="0.25">
      <c r="A10" s="11">
        <v>1</v>
      </c>
      <c r="B10" s="12">
        <v>2</v>
      </c>
      <c r="C10" s="13">
        <v>3</v>
      </c>
      <c r="D10" s="14">
        <v>4</v>
      </c>
      <c r="E10" s="14">
        <v>5</v>
      </c>
      <c r="F10" s="14">
        <v>6</v>
      </c>
      <c r="G10" s="15" t="s">
        <v>582</v>
      </c>
      <c r="H10" s="235" t="s">
        <v>583</v>
      </c>
    </row>
    <row r="11" spans="1:13" ht="20.25" customHeight="1" x14ac:dyDescent="0.25">
      <c r="A11" s="318"/>
      <c r="B11" s="199" t="s">
        <v>473</v>
      </c>
      <c r="C11" s="200" t="s">
        <v>9</v>
      </c>
      <c r="D11" s="275">
        <f>D12+D20+D31</f>
        <v>1141467482471</v>
      </c>
      <c r="E11" s="275">
        <f t="shared" ref="E11:G11" si="0">E12+E20+E31</f>
        <v>154803417095.01999</v>
      </c>
      <c r="F11" s="275">
        <f t="shared" si="0"/>
        <v>70216854077.740005</v>
      </c>
      <c r="G11" s="275">
        <f t="shared" si="0"/>
        <v>225020271172.76001</v>
      </c>
      <c r="H11" s="276">
        <f>G11/D11</f>
        <v>0.19713244102726935</v>
      </c>
      <c r="I11" s="417"/>
      <c r="J11" s="417"/>
      <c r="K11" s="417"/>
      <c r="L11" s="417"/>
    </row>
    <row r="12" spans="1:13" ht="20.25" customHeight="1" x14ac:dyDescent="0.25">
      <c r="A12" s="149" t="s">
        <v>426</v>
      </c>
      <c r="B12" s="150" t="s">
        <v>11</v>
      </c>
      <c r="C12" s="151" t="s">
        <v>443</v>
      </c>
      <c r="D12" s="152">
        <f>SUM(D13+D14+D18+D19)</f>
        <v>392981073390</v>
      </c>
      <c r="E12" s="152">
        <f t="shared" ref="E12:G12" si="1">SUM(E13+E14+E18+E19)</f>
        <v>29673587195.02</v>
      </c>
      <c r="F12" s="152">
        <f t="shared" si="1"/>
        <v>23975305277.740002</v>
      </c>
      <c r="G12" s="152">
        <f t="shared" si="1"/>
        <v>53648892472.760002</v>
      </c>
      <c r="H12" s="243">
        <f>G12/D12</f>
        <v>0.13651775137658623</v>
      </c>
      <c r="K12" s="271"/>
    </row>
    <row r="13" spans="1:13" ht="20.25" customHeight="1" x14ac:dyDescent="0.25">
      <c r="A13" s="319" t="s">
        <v>19</v>
      </c>
      <c r="B13" s="256" t="s">
        <v>345</v>
      </c>
      <c r="C13" s="265" t="s">
        <v>264</v>
      </c>
      <c r="D13" s="258">
        <v>197002700000</v>
      </c>
      <c r="E13" s="258">
        <f>'Rkp Feb'!G13</f>
        <v>13816555132</v>
      </c>
      <c r="F13" s="258">
        <f>'Realisasi Maret'!F13</f>
        <v>10173396070</v>
      </c>
      <c r="G13" s="258">
        <f>E13+F13</f>
        <v>23989951202</v>
      </c>
      <c r="H13" s="259">
        <f t="shared" ref="H13:H35" si="2">G13/D13</f>
        <v>0.12177473304680596</v>
      </c>
      <c r="J13" s="282" t="s">
        <v>629</v>
      </c>
      <c r="M13" s="90"/>
    </row>
    <row r="14" spans="1:13" ht="20.25" customHeight="1" x14ac:dyDescent="0.25">
      <c r="A14" s="320" t="s">
        <v>39</v>
      </c>
      <c r="B14" s="266" t="s">
        <v>346</v>
      </c>
      <c r="C14" s="267" t="s">
        <v>265</v>
      </c>
      <c r="D14" s="268">
        <f>SUM(D15:D17)</f>
        <v>47985440000</v>
      </c>
      <c r="E14" s="268">
        <f t="shared" ref="E14:G14" si="3">SUM(E15:E17)</f>
        <v>3679265600</v>
      </c>
      <c r="F14" s="268">
        <f t="shared" si="3"/>
        <v>2673072200</v>
      </c>
      <c r="G14" s="268">
        <f t="shared" si="3"/>
        <v>6352337800</v>
      </c>
      <c r="H14" s="269">
        <f t="shared" si="2"/>
        <v>0.13238052625963209</v>
      </c>
      <c r="M14" s="90"/>
    </row>
    <row r="15" spans="1:13" ht="20.25" customHeight="1" x14ac:dyDescent="0.25">
      <c r="A15" s="321"/>
      <c r="B15" s="86" t="s">
        <v>288</v>
      </c>
      <c r="C15" s="87" t="s">
        <v>55</v>
      </c>
      <c r="D15" s="88">
        <v>4579475000</v>
      </c>
      <c r="E15" s="88">
        <f>'Rkp Feb'!G15</f>
        <v>240087550</v>
      </c>
      <c r="F15" s="88">
        <f>'Realisasi Maret'!F30+'Realisasi Maret'!F53+'Realisasi Maret'!F58+'Realisasi Maret'!F92</f>
        <v>248760400</v>
      </c>
      <c r="G15" s="88">
        <f>E15+F15</f>
        <v>488847950</v>
      </c>
      <c r="H15" s="245">
        <f t="shared" si="2"/>
        <v>0.10674759661314889</v>
      </c>
      <c r="M15" s="90"/>
    </row>
    <row r="16" spans="1:13" ht="20.25" customHeight="1" x14ac:dyDescent="0.25">
      <c r="A16" s="321"/>
      <c r="B16" s="86" t="s">
        <v>285</v>
      </c>
      <c r="C16" s="87" t="s">
        <v>444</v>
      </c>
      <c r="D16" s="88">
        <v>28403965000</v>
      </c>
      <c r="E16" s="88">
        <f>'Rkp Feb'!G16</f>
        <v>3439178050</v>
      </c>
      <c r="F16" s="88">
        <f>'Realisasi Maret'!F41+'Realisasi Maret'!F48+'Realisasi Maret'!F63+'Realisasi Maret'!F75+'Realisasi Maret'!F87</f>
        <v>2424311800</v>
      </c>
      <c r="G16" s="88">
        <f t="shared" ref="G16:G19" si="4">E16+F16</f>
        <v>5863489850</v>
      </c>
      <c r="H16" s="245">
        <f t="shared" si="2"/>
        <v>0.2064320896748042</v>
      </c>
      <c r="M16" s="90"/>
    </row>
    <row r="17" spans="1:14" ht="20.25" customHeight="1" x14ac:dyDescent="0.25">
      <c r="A17" s="321"/>
      <c r="B17" s="86" t="s">
        <v>298</v>
      </c>
      <c r="C17" s="87" t="s">
        <v>60</v>
      </c>
      <c r="D17" s="88">
        <v>15002000000</v>
      </c>
      <c r="E17" s="88">
        <f>'Rkp Feb'!G17</f>
        <v>0</v>
      </c>
      <c r="F17" s="88">
        <f>'Realisasi Maret'!F70+'Realisasi Maret'!F80</f>
        <v>0</v>
      </c>
      <c r="G17" s="88">
        <f t="shared" si="4"/>
        <v>0</v>
      </c>
      <c r="H17" s="245">
        <f t="shared" si="2"/>
        <v>0</v>
      </c>
      <c r="M17" s="90"/>
    </row>
    <row r="18" spans="1:14" ht="31.5" customHeight="1" x14ac:dyDescent="0.25">
      <c r="A18" s="320" t="s">
        <v>46</v>
      </c>
      <c r="B18" s="256" t="s">
        <v>347</v>
      </c>
      <c r="C18" s="257" t="s">
        <v>266</v>
      </c>
      <c r="D18" s="258">
        <v>1663748324</v>
      </c>
      <c r="E18" s="260">
        <f>'Rkp Feb'!G18</f>
        <v>0</v>
      </c>
      <c r="F18" s="258">
        <f>'Realisasi Maret'!F96</f>
        <v>0</v>
      </c>
      <c r="G18" s="260">
        <f t="shared" si="4"/>
        <v>0</v>
      </c>
      <c r="H18" s="259">
        <f t="shared" si="2"/>
        <v>0</v>
      </c>
      <c r="I18" s="273"/>
      <c r="M18" s="90"/>
    </row>
    <row r="19" spans="1:14" ht="20.25" customHeight="1" x14ac:dyDescent="0.25">
      <c r="A19" s="322" t="s">
        <v>8</v>
      </c>
      <c r="B19" s="266" t="s">
        <v>348</v>
      </c>
      <c r="C19" s="267" t="s">
        <v>96</v>
      </c>
      <c r="D19" s="268">
        <v>146329185066</v>
      </c>
      <c r="E19" s="268">
        <f>'Rkp Feb'!G19</f>
        <v>12177766463.02</v>
      </c>
      <c r="F19" s="268">
        <f>'Realisasi Maret'!F102</f>
        <v>11128837007.740002</v>
      </c>
      <c r="G19" s="260">
        <f t="shared" si="4"/>
        <v>23306603470.760002</v>
      </c>
      <c r="H19" s="269">
        <f t="shared" si="2"/>
        <v>0.15927515389529329</v>
      </c>
      <c r="M19" s="90"/>
    </row>
    <row r="20" spans="1:14" ht="20.25" customHeight="1" x14ac:dyDescent="0.25">
      <c r="A20" s="149" t="s">
        <v>163</v>
      </c>
      <c r="B20" s="150" t="s">
        <v>164</v>
      </c>
      <c r="C20" s="151" t="s">
        <v>268</v>
      </c>
      <c r="D20" s="155">
        <f>SUM(D21+D28)</f>
        <v>748486409081</v>
      </c>
      <c r="E20" s="155">
        <f>'Rkp Feb'!G20</f>
        <v>125129829900</v>
      </c>
      <c r="F20" s="155">
        <f>SUM(F21+F28)</f>
        <v>46241548800</v>
      </c>
      <c r="G20" s="155">
        <f t="shared" ref="G20" si="5">SUM(G21+G28)</f>
        <v>171371378700</v>
      </c>
      <c r="H20" s="243">
        <f t="shared" si="2"/>
        <v>0.22895723505575966</v>
      </c>
    </row>
    <row r="21" spans="1:14" ht="20.25" customHeight="1" x14ac:dyDescent="0.25">
      <c r="A21" s="156" t="s">
        <v>416</v>
      </c>
      <c r="B21" s="157" t="s">
        <v>350</v>
      </c>
      <c r="C21" s="158" t="s">
        <v>351</v>
      </c>
      <c r="D21" s="159">
        <f>SUM(D22+D27)</f>
        <v>643257080000</v>
      </c>
      <c r="E21" s="309">
        <f>'Rkp Feb'!G21</f>
        <v>125129829900</v>
      </c>
      <c r="F21" s="159">
        <f t="shared" ref="F21:G21" si="6">SUM(F22+F27)</f>
        <v>46241548800</v>
      </c>
      <c r="G21" s="159">
        <f t="shared" si="6"/>
        <v>171371378700</v>
      </c>
      <c r="H21" s="246">
        <f t="shared" si="2"/>
        <v>0.26641195880813312</v>
      </c>
      <c r="L21" s="271"/>
    </row>
    <row r="22" spans="1:14" ht="20.25" customHeight="1" x14ac:dyDescent="0.25">
      <c r="A22" s="160" t="s">
        <v>89</v>
      </c>
      <c r="B22" s="161" t="s">
        <v>352</v>
      </c>
      <c r="C22" s="162" t="s">
        <v>435</v>
      </c>
      <c r="D22" s="163">
        <f>SUM(D23:D26)</f>
        <v>643257080000</v>
      </c>
      <c r="E22" s="310">
        <f>'Rkp Feb'!G22</f>
        <v>125129829900</v>
      </c>
      <c r="F22" s="163">
        <f>SUM(F23:F26)</f>
        <v>46241548800</v>
      </c>
      <c r="G22" s="163">
        <f t="shared" ref="G22" si="7">SUM(G23:G26)</f>
        <v>171371378700</v>
      </c>
      <c r="H22" s="247">
        <f t="shared" si="2"/>
        <v>0.26641195880813312</v>
      </c>
      <c r="K22" s="271"/>
      <c r="L22" s="271"/>
    </row>
    <row r="23" spans="1:14" ht="20.25" customHeight="1" x14ac:dyDescent="0.25">
      <c r="A23" s="323" t="s">
        <v>13</v>
      </c>
      <c r="B23" s="147" t="s">
        <v>353</v>
      </c>
      <c r="C23" s="148" t="s">
        <v>354</v>
      </c>
      <c r="D23" s="173">
        <v>154499794000</v>
      </c>
      <c r="E23" s="173">
        <f>'Rkp Feb'!G23</f>
        <v>18725119900</v>
      </c>
      <c r="F23" s="173">
        <f>'Realisasi Maret'!F228</f>
        <v>10445378800</v>
      </c>
      <c r="G23" s="173">
        <f>E23+F23</f>
        <v>29170498700</v>
      </c>
      <c r="H23" s="244">
        <f t="shared" si="2"/>
        <v>0.18880606856990373</v>
      </c>
      <c r="K23" s="271"/>
      <c r="L23" s="271"/>
    </row>
    <row r="24" spans="1:14" ht="20.25" customHeight="1" x14ac:dyDescent="0.25">
      <c r="A24" s="85" t="s">
        <v>16</v>
      </c>
      <c r="B24" s="86" t="s">
        <v>368</v>
      </c>
      <c r="C24" s="87" t="s">
        <v>436</v>
      </c>
      <c r="D24" s="88">
        <v>429554051000</v>
      </c>
      <c r="E24" s="88">
        <f>'Rkp Feb'!G24</f>
        <v>106404710000</v>
      </c>
      <c r="F24" s="88">
        <f>'Realisasi Maret'!F293</f>
        <v>35796170000</v>
      </c>
      <c r="G24" s="173">
        <f t="shared" ref="G24:G26" si="8">E24+F24</f>
        <v>142200880000</v>
      </c>
      <c r="H24" s="248">
        <f t="shared" si="2"/>
        <v>0.33104304259023271</v>
      </c>
      <c r="K24" s="271"/>
      <c r="L24" s="271"/>
    </row>
    <row r="25" spans="1:14" ht="20.25" customHeight="1" x14ac:dyDescent="0.25">
      <c r="A25" s="85" t="s">
        <v>86</v>
      </c>
      <c r="B25" s="86" t="s">
        <v>370</v>
      </c>
      <c r="C25" s="87" t="s">
        <v>437</v>
      </c>
      <c r="D25" s="88">
        <v>7340205000</v>
      </c>
      <c r="E25" s="88">
        <f>'Rkp Feb'!G25</f>
        <v>0</v>
      </c>
      <c r="F25" s="88">
        <f>'Realisasi Maret'!F295</f>
        <v>0</v>
      </c>
      <c r="G25" s="173">
        <f t="shared" si="8"/>
        <v>0</v>
      </c>
      <c r="H25" s="248">
        <f t="shared" si="2"/>
        <v>0</v>
      </c>
      <c r="K25" s="331"/>
      <c r="L25" s="331"/>
      <c r="M25" s="271"/>
      <c r="N25" s="332"/>
    </row>
    <row r="26" spans="1:14" ht="20.25" customHeight="1" x14ac:dyDescent="0.25">
      <c r="A26" s="91" t="s">
        <v>95</v>
      </c>
      <c r="B26" s="153" t="s">
        <v>384</v>
      </c>
      <c r="C26" s="154" t="s">
        <v>438</v>
      </c>
      <c r="D26" s="174">
        <v>51863030000</v>
      </c>
      <c r="E26" s="174">
        <f>'Rkp Feb'!G26</f>
        <v>0</v>
      </c>
      <c r="F26" s="174">
        <f>'Realisasi Maret'!F363</f>
        <v>0</v>
      </c>
      <c r="G26" s="173">
        <f t="shared" si="8"/>
        <v>0</v>
      </c>
      <c r="H26" s="245">
        <f t="shared" si="2"/>
        <v>0</v>
      </c>
      <c r="K26" s="271"/>
      <c r="L26" s="271"/>
    </row>
    <row r="27" spans="1:14" ht="20.25" customHeight="1" x14ac:dyDescent="0.25">
      <c r="A27" s="160" t="s">
        <v>91</v>
      </c>
      <c r="B27" s="161" t="s">
        <v>396</v>
      </c>
      <c r="C27" s="162" t="s">
        <v>439</v>
      </c>
      <c r="D27" s="163">
        <v>0</v>
      </c>
      <c r="E27" s="310">
        <f>'Rkp Feb'!G27</f>
        <v>0</v>
      </c>
      <c r="F27" s="163">
        <f>'Realisasi Maret'!F408</f>
        <v>0</v>
      </c>
      <c r="G27" s="163">
        <f>E27+F27</f>
        <v>0</v>
      </c>
      <c r="H27" s="247" t="e">
        <f t="shared" si="2"/>
        <v>#DIV/0!</v>
      </c>
      <c r="K27" s="271"/>
      <c r="L27" s="271"/>
    </row>
    <row r="28" spans="1:14" ht="20.25" customHeight="1" x14ac:dyDescent="0.25">
      <c r="A28" s="156" t="s">
        <v>440</v>
      </c>
      <c r="B28" s="157" t="s">
        <v>398</v>
      </c>
      <c r="C28" s="158" t="s">
        <v>399</v>
      </c>
      <c r="D28" s="159">
        <f>SUM(D29:D30)</f>
        <v>105229329081</v>
      </c>
      <c r="E28" s="309">
        <f>'Rkp Feb'!G28</f>
        <v>0</v>
      </c>
      <c r="F28" s="159">
        <f t="shared" ref="F28" si="9">SUM(F29:F30)</f>
        <v>0</v>
      </c>
      <c r="G28" s="159">
        <f>E28+F28</f>
        <v>0</v>
      </c>
      <c r="H28" s="246">
        <f t="shared" si="2"/>
        <v>0</v>
      </c>
      <c r="K28" s="271"/>
    </row>
    <row r="29" spans="1:14" ht="20.25" customHeight="1" x14ac:dyDescent="0.25">
      <c r="A29" s="323" t="s">
        <v>89</v>
      </c>
      <c r="B29" s="147" t="s">
        <v>400</v>
      </c>
      <c r="C29" s="148" t="s">
        <v>403</v>
      </c>
      <c r="D29" s="173">
        <v>105229329081</v>
      </c>
      <c r="E29" s="173">
        <f>'Rkp Feb'!G29</f>
        <v>0</v>
      </c>
      <c r="F29" s="173">
        <f>'Realisasi Maret'!F415</f>
        <v>0</v>
      </c>
      <c r="G29" s="173">
        <f>E29+F29</f>
        <v>0</v>
      </c>
      <c r="H29" s="244">
        <f t="shared" si="2"/>
        <v>0</v>
      </c>
    </row>
    <row r="30" spans="1:14" ht="20.25" customHeight="1" x14ac:dyDescent="0.25">
      <c r="A30" s="91" t="s">
        <v>91</v>
      </c>
      <c r="B30" s="153" t="s">
        <v>425</v>
      </c>
      <c r="C30" s="154" t="s">
        <v>427</v>
      </c>
      <c r="D30" s="174">
        <v>0</v>
      </c>
      <c r="E30" s="268">
        <f>'Rkp Feb'!G30</f>
        <v>0</v>
      </c>
      <c r="F30" s="174">
        <f>'Realisasi Maret'!F429</f>
        <v>0</v>
      </c>
      <c r="G30" s="173">
        <f>E30+F30</f>
        <v>0</v>
      </c>
      <c r="H30" s="244" t="e">
        <f t="shared" si="2"/>
        <v>#DIV/0!</v>
      </c>
    </row>
    <row r="31" spans="1:14" ht="20.25" customHeight="1" x14ac:dyDescent="0.25">
      <c r="A31" s="149" t="s">
        <v>241</v>
      </c>
      <c r="B31" s="150" t="s">
        <v>242</v>
      </c>
      <c r="C31" s="151" t="s">
        <v>243</v>
      </c>
      <c r="D31" s="155">
        <f t="shared" ref="D31:G33" si="10">D32</f>
        <v>0</v>
      </c>
      <c r="E31" s="155">
        <f>'Rkp Feb'!G31</f>
        <v>0</v>
      </c>
      <c r="F31" s="155">
        <f t="shared" si="10"/>
        <v>0</v>
      </c>
      <c r="G31" s="155">
        <f t="shared" si="10"/>
        <v>0</v>
      </c>
      <c r="H31" s="243" t="e">
        <f t="shared" si="2"/>
        <v>#DIV/0!</v>
      </c>
    </row>
    <row r="32" spans="1:14" ht="34.5" customHeight="1" x14ac:dyDescent="0.25">
      <c r="A32" s="84"/>
      <c r="B32" s="147" t="s">
        <v>418</v>
      </c>
      <c r="C32" s="250" t="s">
        <v>441</v>
      </c>
      <c r="D32" s="258">
        <f>D33</f>
        <v>0</v>
      </c>
      <c r="E32" s="258">
        <f>'Rkp Feb'!G32</f>
        <v>0</v>
      </c>
      <c r="F32" s="173">
        <f t="shared" si="10"/>
        <v>0</v>
      </c>
      <c r="G32" s="173">
        <f>E32+F32</f>
        <v>0</v>
      </c>
      <c r="H32" s="259" t="e">
        <f t="shared" si="2"/>
        <v>#DIV/0!</v>
      </c>
    </row>
    <row r="33" spans="1:10" ht="20.25" customHeight="1" x14ac:dyDescent="0.25">
      <c r="A33" s="85"/>
      <c r="B33" s="86" t="s">
        <v>420</v>
      </c>
      <c r="C33" s="87" t="s">
        <v>442</v>
      </c>
      <c r="D33" s="260">
        <f t="shared" si="10"/>
        <v>0</v>
      </c>
      <c r="E33" s="260">
        <f>'Rkp Feb'!G33</f>
        <v>0</v>
      </c>
      <c r="F33" s="88">
        <f t="shared" si="10"/>
        <v>0</v>
      </c>
      <c r="G33" s="173">
        <f t="shared" ref="G33" si="11">E33+F33</f>
        <v>0</v>
      </c>
      <c r="H33" s="261" t="e">
        <f t="shared" si="2"/>
        <v>#DIV/0!</v>
      </c>
    </row>
    <row r="34" spans="1:10" ht="20.25" customHeight="1" x14ac:dyDescent="0.25">
      <c r="A34" s="91" t="s">
        <v>89</v>
      </c>
      <c r="B34" s="86" t="s">
        <v>422</v>
      </c>
      <c r="C34" s="87" t="s">
        <v>423</v>
      </c>
      <c r="D34" s="164">
        <v>0</v>
      </c>
      <c r="E34" s="260">
        <f>'Rkp Feb'!G34</f>
        <v>0</v>
      </c>
      <c r="F34" s="174">
        <f>'Realisasi Maret'!F442</f>
        <v>0</v>
      </c>
      <c r="G34" s="173">
        <f>F34</f>
        <v>0</v>
      </c>
      <c r="H34" s="248" t="e">
        <f t="shared" si="2"/>
        <v>#DIV/0!</v>
      </c>
    </row>
    <row r="35" spans="1:10" ht="20.25" customHeight="1" thickBot="1" x14ac:dyDescent="0.3">
      <c r="A35" s="91" t="s">
        <v>91</v>
      </c>
      <c r="B35" s="86" t="s">
        <v>618</v>
      </c>
      <c r="C35" s="87" t="s">
        <v>620</v>
      </c>
      <c r="D35" s="164">
        <v>0</v>
      </c>
      <c r="E35" s="260">
        <f>'Rkp Feb'!G35</f>
        <v>0</v>
      </c>
      <c r="F35" s="174">
        <f>'Realisasi Maret'!F456</f>
        <v>0</v>
      </c>
      <c r="G35" s="173">
        <f>F35</f>
        <v>0</v>
      </c>
      <c r="H35" s="286" t="e">
        <f t="shared" si="2"/>
        <v>#DIV/0!</v>
      </c>
    </row>
    <row r="36" spans="1:10" s="82" customFormat="1" ht="21.75" customHeight="1" thickBot="1" x14ac:dyDescent="0.3">
      <c r="A36" s="143"/>
      <c r="B36" s="144"/>
      <c r="C36" s="145" t="s">
        <v>472</v>
      </c>
      <c r="D36" s="146">
        <f>SUM(D12+D20+D31)</f>
        <v>1141467482471</v>
      </c>
      <c r="E36" s="146">
        <f t="shared" ref="E36:G36" si="12">SUM(E12+E20+E31)</f>
        <v>154803417095.01999</v>
      </c>
      <c r="F36" s="146">
        <f t="shared" si="12"/>
        <v>70216854077.740005</v>
      </c>
      <c r="G36" s="146">
        <f t="shared" si="12"/>
        <v>225020271172.76001</v>
      </c>
      <c r="H36" s="249">
        <f>G36/D36</f>
        <v>0.19713244102726935</v>
      </c>
      <c r="I36" s="274"/>
      <c r="J36" s="274"/>
    </row>
    <row r="37" spans="1:10" ht="20.25" hidden="1" customHeight="1" x14ac:dyDescent="0.25">
      <c r="A37" s="92" t="s">
        <v>95</v>
      </c>
      <c r="B37" s="93" t="s">
        <v>46</v>
      </c>
      <c r="C37" s="94" t="s">
        <v>251</v>
      </c>
      <c r="D37" s="95">
        <v>102132456348.7</v>
      </c>
      <c r="E37" s="173"/>
      <c r="F37" s="88" t="e">
        <f>D37-#REF!</f>
        <v>#REF!</v>
      </c>
      <c r="G37" s="173"/>
      <c r="H37" s="96" t="e">
        <f>SUM(F37/#REF!)</f>
        <v>#REF!</v>
      </c>
    </row>
    <row r="38" spans="1:10" ht="20.25" hidden="1" customHeight="1" x14ac:dyDescent="0.25">
      <c r="A38" s="85"/>
      <c r="B38" s="97" t="s">
        <v>252</v>
      </c>
      <c r="C38" s="98" t="s">
        <v>253</v>
      </c>
      <c r="D38" s="88">
        <v>102132456348.7</v>
      </c>
      <c r="E38" s="88"/>
      <c r="F38" s="88" t="e">
        <f>D38-#REF!</f>
        <v>#REF!</v>
      </c>
      <c r="G38" s="88"/>
      <c r="H38" s="89" t="e">
        <f>SUM(F38/#REF!)</f>
        <v>#REF!</v>
      </c>
    </row>
    <row r="39" spans="1:10" ht="20.25" hidden="1" customHeight="1" x14ac:dyDescent="0.25">
      <c r="A39" s="85"/>
      <c r="B39" s="99" t="s">
        <v>254</v>
      </c>
      <c r="C39" s="100" t="s">
        <v>255</v>
      </c>
      <c r="D39" s="88">
        <v>95076456348.699997</v>
      </c>
      <c r="E39" s="88"/>
      <c r="F39" s="88" t="e">
        <f>D39-#REF!</f>
        <v>#REF!</v>
      </c>
      <c r="G39" s="88"/>
      <c r="H39" s="89" t="e">
        <f>SUM(F39/#REF!)</f>
        <v>#REF!</v>
      </c>
    </row>
    <row r="40" spans="1:10" ht="20.25" hidden="1" customHeight="1" x14ac:dyDescent="0.25">
      <c r="A40" s="85"/>
      <c r="B40" s="99" t="s">
        <v>256</v>
      </c>
      <c r="C40" s="100" t="s">
        <v>257</v>
      </c>
      <c r="D40" s="88">
        <v>7056000000</v>
      </c>
      <c r="E40" s="88"/>
      <c r="F40" s="88" t="e">
        <f>D40-#REF!</f>
        <v>#REF!</v>
      </c>
      <c r="G40" s="88"/>
      <c r="H40" s="89">
        <v>1</v>
      </c>
    </row>
    <row r="41" spans="1:10" ht="20.25" hidden="1" customHeight="1" x14ac:dyDescent="0.25">
      <c r="A41" s="101"/>
      <c r="B41" s="102" t="s">
        <v>258</v>
      </c>
      <c r="C41" s="103" t="s">
        <v>259</v>
      </c>
      <c r="D41" s="104">
        <v>7056000000</v>
      </c>
      <c r="E41" s="174"/>
      <c r="F41" s="88" t="e">
        <f>D41-#REF!</f>
        <v>#REF!</v>
      </c>
      <c r="G41" s="174"/>
      <c r="H41" s="105">
        <v>1</v>
      </c>
    </row>
    <row r="42" spans="1:10" ht="26.25" hidden="1" customHeight="1" x14ac:dyDescent="0.25">
      <c r="A42" s="450" t="s">
        <v>263</v>
      </c>
      <c r="B42" s="451"/>
      <c r="C42" s="451"/>
      <c r="D42" s="106">
        <f>SUM(D37+D36)</f>
        <v>1243599938819.7</v>
      </c>
      <c r="E42" s="106"/>
      <c r="F42" s="106" t="e">
        <f>SUM(F37+F36)</f>
        <v>#REF!</v>
      </c>
      <c r="G42" s="106"/>
      <c r="H42" s="107" t="e">
        <f>SUM(F42/#REF!)</f>
        <v>#REF!</v>
      </c>
    </row>
    <row r="43" spans="1:10" ht="26.25" customHeight="1" x14ac:dyDescent="0.25">
      <c r="A43" s="108"/>
      <c r="B43" s="198"/>
      <c r="C43" s="197"/>
      <c r="D43" s="110"/>
      <c r="E43" s="110"/>
      <c r="F43" s="110"/>
      <c r="G43" s="110"/>
      <c r="H43" s="111"/>
    </row>
    <row r="44" spans="1:10" ht="21" customHeight="1" x14ac:dyDescent="0.25">
      <c r="A44" s="324"/>
      <c r="B44" s="305"/>
      <c r="C44" s="109"/>
      <c r="D44" s="112"/>
      <c r="E44" s="112"/>
      <c r="F44" s="291"/>
      <c r="G44" s="291" t="s">
        <v>675</v>
      </c>
      <c r="H44" s="113"/>
    </row>
    <row r="45" spans="1:10" ht="18" x14ac:dyDescent="0.25">
      <c r="A45" s="324"/>
      <c r="B45" s="305"/>
      <c r="C45" s="109"/>
      <c r="D45" s="114"/>
      <c r="E45" s="114"/>
      <c r="F45" s="291"/>
      <c r="G45" s="291" t="s">
        <v>630</v>
      </c>
      <c r="H45" s="255"/>
    </row>
    <row r="46" spans="1:10" ht="21" customHeight="1" x14ac:dyDescent="0.25">
      <c r="B46" s="305"/>
      <c r="C46" s="109"/>
      <c r="D46" s="114"/>
      <c r="E46" s="114"/>
      <c r="F46" s="291"/>
      <c r="G46" s="291"/>
      <c r="H46" s="255"/>
    </row>
    <row r="47" spans="1:10" ht="15.75" customHeight="1" x14ac:dyDescent="0.25">
      <c r="B47" s="305"/>
      <c r="C47" s="109"/>
      <c r="D47" s="116"/>
      <c r="E47" s="116"/>
      <c r="F47" s="291"/>
      <c r="G47" s="291"/>
      <c r="H47" s="117"/>
    </row>
    <row r="48" spans="1:10" ht="15.75" customHeight="1" x14ac:dyDescent="0.25">
      <c r="B48" s="305"/>
      <c r="C48" s="109"/>
      <c r="D48" s="116"/>
      <c r="E48" s="116"/>
      <c r="F48" s="291"/>
      <c r="G48" s="291"/>
      <c r="H48" s="117"/>
    </row>
    <row r="49" spans="2:8" ht="15.75" customHeight="1" x14ac:dyDescent="0.25">
      <c r="B49" s="305"/>
      <c r="C49" s="109" t="s">
        <v>267</v>
      </c>
      <c r="D49" s="116"/>
      <c r="E49" s="116"/>
      <c r="F49" s="292"/>
      <c r="G49" s="292" t="s">
        <v>579</v>
      </c>
      <c r="H49" s="117"/>
    </row>
    <row r="50" spans="2:8" ht="15.75" customHeight="1" x14ac:dyDescent="0.25">
      <c r="B50" s="305"/>
      <c r="C50" s="109"/>
      <c r="D50" s="116"/>
      <c r="E50" s="116"/>
      <c r="F50" s="291"/>
      <c r="G50" s="291" t="s">
        <v>577</v>
      </c>
      <c r="H50" s="117"/>
    </row>
    <row r="51" spans="2:8" ht="22.5" customHeight="1" x14ac:dyDescent="0.25">
      <c r="C51" s="118"/>
      <c r="D51" s="119"/>
      <c r="E51" s="119"/>
      <c r="F51" s="291"/>
      <c r="G51" s="291" t="s">
        <v>576</v>
      </c>
      <c r="H51" s="120"/>
    </row>
    <row r="52" spans="2:8" ht="20.25" customHeight="1" x14ac:dyDescent="0.25">
      <c r="C52" s="118"/>
      <c r="D52" s="112"/>
      <c r="E52" s="112"/>
      <c r="F52" s="115"/>
      <c r="G52" s="115"/>
      <c r="H52" s="113"/>
    </row>
    <row r="53" spans="2:8" ht="13.15" customHeight="1" x14ac:dyDescent="0.25">
      <c r="C53" s="118"/>
      <c r="D53" s="112"/>
      <c r="E53" s="112"/>
      <c r="H53" s="113"/>
    </row>
    <row r="54" spans="2:8" ht="13.15" customHeight="1" x14ac:dyDescent="0.25">
      <c r="C54" s="118"/>
      <c r="D54" s="112"/>
      <c r="E54" s="112"/>
      <c r="F54" s="113"/>
      <c r="G54" s="113"/>
      <c r="H54" s="113"/>
    </row>
    <row r="55" spans="2:8" ht="13.15" customHeight="1" x14ac:dyDescent="0.25">
      <c r="C55" s="118"/>
      <c r="D55" s="112"/>
      <c r="E55" s="112"/>
      <c r="F55" s="113"/>
      <c r="G55" s="113"/>
      <c r="H55" s="113"/>
    </row>
    <row r="56" spans="2:8" ht="13.15" customHeight="1" x14ac:dyDescent="0.25">
      <c r="C56" s="118"/>
      <c r="D56" s="118"/>
      <c r="E56" s="118"/>
    </row>
    <row r="57" spans="2:8" ht="13.15" customHeight="1" x14ac:dyDescent="0.25">
      <c r="C57" s="118"/>
      <c r="D57" s="118"/>
      <c r="E57" s="118"/>
    </row>
    <row r="58" spans="2:8" ht="13.15" customHeight="1" x14ac:dyDescent="0.25">
      <c r="C58" s="118"/>
      <c r="D58" s="118"/>
      <c r="E58" s="118"/>
    </row>
    <row r="59" spans="2:8" ht="13.15" customHeight="1" x14ac:dyDescent="0.25">
      <c r="C59" s="118"/>
      <c r="D59" s="118"/>
      <c r="E59" s="118"/>
    </row>
    <row r="60" spans="2:8" ht="13.15" customHeight="1" x14ac:dyDescent="0.25">
      <c r="C60" s="118"/>
      <c r="D60" s="118"/>
      <c r="E60" s="118"/>
    </row>
    <row r="61" spans="2:8" ht="13.15" customHeight="1" x14ac:dyDescent="0.25">
      <c r="C61" s="118"/>
      <c r="D61" s="118"/>
      <c r="E61" s="118"/>
    </row>
    <row r="62" spans="2:8" ht="13.15" customHeight="1" x14ac:dyDescent="0.25">
      <c r="C62" s="118"/>
      <c r="D62" s="118"/>
      <c r="E62" s="118"/>
    </row>
  </sheetData>
  <mergeCells count="12">
    <mergeCell ref="F6:H6"/>
    <mergeCell ref="F7:H7"/>
    <mergeCell ref="A42:C42"/>
    <mergeCell ref="B2:D2"/>
    <mergeCell ref="B3:D3"/>
    <mergeCell ref="B4:D4"/>
    <mergeCell ref="B5:C5"/>
    <mergeCell ref="A8:A9"/>
    <mergeCell ref="B8:B9"/>
    <mergeCell ref="C8:C9"/>
    <mergeCell ref="E8:G8"/>
    <mergeCell ref="H8:H9"/>
  </mergeCells>
  <printOptions horizontalCentered="1"/>
  <pageMargins left="1.1000000000000001" right="0.48" top="0.54" bottom="0.27559055118110237" header="0.23622047244094491" footer="0.33"/>
  <pageSetup paperSize="9" scale="6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O478"/>
  <sheetViews>
    <sheetView zoomScale="68" zoomScaleNormal="68" workbookViewId="0">
      <pane ySplit="9" topLeftCell="A10" activePane="bottomLeft" state="frozen"/>
      <selection activeCell="L32" sqref="L32"/>
      <selection pane="bottomLeft" activeCell="K18" sqref="K18"/>
    </sheetView>
  </sheetViews>
  <sheetFormatPr defaultColWidth="9.28515625" defaultRowHeight="18" x14ac:dyDescent="0.25"/>
  <cols>
    <col min="1" max="1" width="7" style="4" customWidth="1"/>
    <col min="2" max="2" width="25.140625" style="4" customWidth="1"/>
    <col min="3" max="3" width="82.7109375" style="4" customWidth="1"/>
    <col min="4" max="6" width="28.42578125" style="175" customWidth="1"/>
    <col min="7" max="7" width="30.7109375" style="175" customWidth="1"/>
    <col min="8" max="8" width="16" style="175" customWidth="1"/>
    <col min="9" max="9" width="56.42578125" style="4" hidden="1" customWidth="1"/>
    <col min="10" max="10" width="30.5703125" style="175" bestFit="1" customWidth="1"/>
    <col min="11" max="11" width="26.5703125" style="4" bestFit="1" customWidth="1"/>
    <col min="12" max="12" width="9.28515625" style="4"/>
    <col min="13" max="13" width="26.28515625" style="4" customWidth="1"/>
    <col min="14" max="16384" width="9.28515625" style="4"/>
  </cols>
  <sheetData>
    <row r="1" spans="1:15" x14ac:dyDescent="0.25">
      <c r="A1" s="1"/>
      <c r="B1" s="1"/>
      <c r="C1" s="2"/>
      <c r="I1" s="3"/>
    </row>
    <row r="2" spans="1:15" ht="25.5" x14ac:dyDescent="0.25">
      <c r="A2" s="1"/>
      <c r="B2" s="444" t="s">
        <v>0</v>
      </c>
      <c r="C2" s="444"/>
      <c r="E2" s="5" t="s">
        <v>486</v>
      </c>
      <c r="I2" s="1"/>
      <c r="K2" s="5"/>
    </row>
    <row r="3" spans="1:15" x14ac:dyDescent="0.25">
      <c r="A3" s="1"/>
      <c r="B3" s="445" t="s">
        <v>480</v>
      </c>
      <c r="C3" s="445"/>
      <c r="E3" s="5" t="s">
        <v>631</v>
      </c>
      <c r="K3" s="5"/>
    </row>
    <row r="4" spans="1:15" x14ac:dyDescent="0.25">
      <c r="A4" s="1"/>
      <c r="B4" s="446" t="s">
        <v>481</v>
      </c>
      <c r="C4" s="446"/>
      <c r="E4" s="6" t="s">
        <v>647</v>
      </c>
      <c r="K4" s="6"/>
    </row>
    <row r="5" spans="1:15" ht="19.5" x14ac:dyDescent="0.25">
      <c r="A5" s="1"/>
      <c r="B5" s="447"/>
      <c r="C5" s="447"/>
      <c r="I5" s="1"/>
    </row>
    <row r="6" spans="1:15" ht="18.75" thickBot="1" x14ac:dyDescent="0.3">
      <c r="A6" s="1"/>
      <c r="B6" s="307"/>
      <c r="C6" s="307"/>
      <c r="D6" s="8"/>
      <c r="E6" s="8"/>
      <c r="F6" s="448"/>
      <c r="G6" s="448"/>
      <c r="H6" s="448"/>
      <c r="I6" s="7"/>
    </row>
    <row r="7" spans="1:15" s="10" customFormat="1" ht="29.25" customHeight="1" x14ac:dyDescent="0.25">
      <c r="A7" s="435" t="s">
        <v>2</v>
      </c>
      <c r="B7" s="437" t="s">
        <v>3</v>
      </c>
      <c r="C7" s="437" t="s">
        <v>4</v>
      </c>
      <c r="D7" s="202" t="s">
        <v>5</v>
      </c>
      <c r="E7" s="441" t="s">
        <v>475</v>
      </c>
      <c r="F7" s="441"/>
      <c r="G7" s="441"/>
      <c r="H7" s="439" t="s">
        <v>6</v>
      </c>
      <c r="I7" s="442" t="s">
        <v>7</v>
      </c>
      <c r="J7" s="9"/>
    </row>
    <row r="8" spans="1:15" s="10" customFormat="1" ht="29.25" customHeight="1" thickBot="1" x14ac:dyDescent="0.3">
      <c r="A8" s="436"/>
      <c r="B8" s="438"/>
      <c r="C8" s="438"/>
      <c r="D8" s="203" t="s">
        <v>632</v>
      </c>
      <c r="E8" s="204" t="s">
        <v>476</v>
      </c>
      <c r="F8" s="204" t="s">
        <v>477</v>
      </c>
      <c r="G8" s="204" t="s">
        <v>478</v>
      </c>
      <c r="H8" s="440"/>
      <c r="I8" s="443"/>
      <c r="J8" s="9"/>
    </row>
    <row r="9" spans="1:15" s="16" customFormat="1" ht="14.65" customHeight="1" x14ac:dyDescent="0.25">
      <c r="A9" s="11">
        <v>1</v>
      </c>
      <c r="B9" s="12">
        <v>2</v>
      </c>
      <c r="C9" s="13">
        <v>3</v>
      </c>
      <c r="D9" s="14">
        <v>4</v>
      </c>
      <c r="E9" s="14">
        <v>5</v>
      </c>
      <c r="F9" s="14">
        <v>6</v>
      </c>
      <c r="G9" s="15" t="s">
        <v>582</v>
      </c>
      <c r="H9" s="235" t="s">
        <v>583</v>
      </c>
      <c r="I9" s="205">
        <v>9</v>
      </c>
      <c r="J9" s="7"/>
    </row>
    <row r="10" spans="1:15" x14ac:dyDescent="0.25">
      <c r="A10" s="17"/>
      <c r="B10" s="18"/>
      <c r="C10" s="19"/>
      <c r="D10" s="20"/>
      <c r="E10" s="20"/>
      <c r="F10" s="20"/>
      <c r="G10" s="20"/>
      <c r="H10" s="21"/>
      <c r="I10" s="206"/>
    </row>
    <row r="11" spans="1:15" s="176" customFormat="1" ht="25.5" customHeight="1" x14ac:dyDescent="0.25">
      <c r="A11" s="169"/>
      <c r="B11" s="167" t="s">
        <v>8</v>
      </c>
      <c r="C11" s="185" t="s">
        <v>9</v>
      </c>
      <c r="D11" s="191">
        <f>SUM(D12+D225+D439)</f>
        <v>1141467482471</v>
      </c>
      <c r="E11" s="191">
        <f>SUM(E12+E225+E439)</f>
        <v>225020271172.76001</v>
      </c>
      <c r="F11" s="191">
        <f>SUM(F12+F225+F439)</f>
        <v>144904016841.04999</v>
      </c>
      <c r="G11" s="191">
        <f>SUM(G12+G225+G439)</f>
        <v>369924288013.81</v>
      </c>
      <c r="H11" s="236">
        <f>G11/D11</f>
        <v>0.32407781535135255</v>
      </c>
      <c r="I11" s="207"/>
      <c r="J11" s="175"/>
    </row>
    <row r="12" spans="1:15" s="176" customFormat="1" ht="27.75" customHeight="1" x14ac:dyDescent="0.25">
      <c r="A12" s="126" t="s">
        <v>10</v>
      </c>
      <c r="B12" s="127" t="s">
        <v>11</v>
      </c>
      <c r="C12" s="41" t="s">
        <v>12</v>
      </c>
      <c r="D12" s="42">
        <f>SUM(D13+D14+D96+D102)</f>
        <v>392981073390</v>
      </c>
      <c r="E12" s="42">
        <f>SUM(E13+E14+E96+E102)</f>
        <v>53648892472.760002</v>
      </c>
      <c r="F12" s="42">
        <f>SUM(F13+F14+F96+F102)</f>
        <v>78539801847.049988</v>
      </c>
      <c r="G12" s="42">
        <f>SUM(G13+G14+G96+G102)</f>
        <v>132188694319.81001</v>
      </c>
      <c r="H12" s="237">
        <f>G12/D12</f>
        <v>0.33637420036415872</v>
      </c>
      <c r="I12" s="208"/>
      <c r="J12" s="175"/>
    </row>
    <row r="13" spans="1:15" s="176" customFormat="1" ht="25.5" customHeight="1" x14ac:dyDescent="0.25">
      <c r="A13" s="169" t="s">
        <v>13</v>
      </c>
      <c r="B13" s="167" t="s">
        <v>14</v>
      </c>
      <c r="C13" s="185" t="s">
        <v>15</v>
      </c>
      <c r="D13" s="191">
        <f>SUM(D17+D18+D19+D20+D21+D25+D22+D23+D26+D24+D27)</f>
        <v>197002700000</v>
      </c>
      <c r="E13" s="191">
        <f t="shared" ref="E13:G13" si="0">SUM(E17+E18+E19+E20+E21+E25+E22+E23+E26+E24+E27)</f>
        <v>23989951202</v>
      </c>
      <c r="F13" s="191">
        <f t="shared" si="0"/>
        <v>10487260227.360001</v>
      </c>
      <c r="G13" s="191">
        <f t="shared" si="0"/>
        <v>34477211429.360001</v>
      </c>
      <c r="H13" s="236">
        <f>G13/D13</f>
        <v>0.17500882693161057</v>
      </c>
      <c r="I13" s="209"/>
      <c r="J13" s="175"/>
      <c r="K13" s="270"/>
    </row>
    <row r="14" spans="1:15" s="176" customFormat="1" ht="25.5" customHeight="1" x14ac:dyDescent="0.25">
      <c r="A14" s="169" t="s">
        <v>16</v>
      </c>
      <c r="B14" s="167" t="s">
        <v>17</v>
      </c>
      <c r="C14" s="185" t="s">
        <v>18</v>
      </c>
      <c r="D14" s="191">
        <f>SUM(D29+D47+D52+D58+D63+D70+D74+D79+D91+D87+D40)</f>
        <v>47985440000</v>
      </c>
      <c r="E14" s="191">
        <f t="shared" ref="E14:G14" si="1">SUM(E29+E47+E52+E58+E63+E70+E74+E79+E91+E87+E40)</f>
        <v>6352337800</v>
      </c>
      <c r="F14" s="191">
        <f t="shared" si="1"/>
        <v>1825567400</v>
      </c>
      <c r="G14" s="191">
        <f t="shared" si="1"/>
        <v>8177905200</v>
      </c>
      <c r="H14" s="236">
        <f>G14/D14</f>
        <v>0.17042472049855123</v>
      </c>
      <c r="I14" s="209"/>
      <c r="J14" s="280"/>
      <c r="K14" s="281"/>
      <c r="L14" s="282"/>
      <c r="M14" s="282"/>
      <c r="N14" s="282"/>
      <c r="O14" s="282"/>
    </row>
    <row r="15" spans="1:15" s="176" customFormat="1" x14ac:dyDescent="0.25">
      <c r="A15" s="169"/>
      <c r="B15" s="22"/>
      <c r="C15" s="185"/>
      <c r="D15" s="191"/>
      <c r="E15" s="191"/>
      <c r="F15" s="191"/>
      <c r="G15" s="191"/>
      <c r="H15" s="236"/>
      <c r="I15" s="209"/>
      <c r="J15" s="280"/>
      <c r="K15" s="282"/>
      <c r="L15" s="282"/>
      <c r="M15" s="282"/>
      <c r="N15" s="282"/>
      <c r="O15" s="282"/>
    </row>
    <row r="16" spans="1:15" s="187" customFormat="1" ht="22.5" customHeight="1" x14ac:dyDescent="0.25">
      <c r="A16" s="23" t="s">
        <v>19</v>
      </c>
      <c r="B16" s="46" t="s">
        <v>281</v>
      </c>
      <c r="C16" s="185" t="s">
        <v>1</v>
      </c>
      <c r="D16" s="196">
        <f>SUM(D17:D27)</f>
        <v>197002700000</v>
      </c>
      <c r="E16" s="196">
        <f>SUM(E17:E27)</f>
        <v>23989951202</v>
      </c>
      <c r="F16" s="196">
        <f>SUM(F17:F27)</f>
        <v>10487260227.360001</v>
      </c>
      <c r="G16" s="191">
        <f>SUM(G17:G27)</f>
        <v>34477211429.360001</v>
      </c>
      <c r="H16" s="236">
        <f t="shared" ref="H16:H27" si="2">G16/D16</f>
        <v>0.17500882693161057</v>
      </c>
      <c r="I16" s="210"/>
      <c r="J16" s="297"/>
      <c r="K16" s="314"/>
      <c r="L16" s="279"/>
      <c r="M16" s="279"/>
      <c r="N16" s="279"/>
      <c r="O16" s="279"/>
    </row>
    <row r="17" spans="1:15" s="176" customFormat="1" ht="18.75" customHeight="1" x14ac:dyDescent="0.25">
      <c r="A17" s="188"/>
      <c r="B17" s="177" t="s">
        <v>269</v>
      </c>
      <c r="C17" s="183" t="s">
        <v>20</v>
      </c>
      <c r="D17" s="192">
        <v>6000000000</v>
      </c>
      <c r="E17" s="192">
        <f>'Realisasi Maret'!G17</f>
        <v>1136848500</v>
      </c>
      <c r="F17" s="192">
        <v>377806286</v>
      </c>
      <c r="G17" s="192">
        <f>E17+F17</f>
        <v>1514654786</v>
      </c>
      <c r="H17" s="24">
        <f t="shared" si="2"/>
        <v>0.25244246433333334</v>
      </c>
      <c r="I17" s="211" t="s">
        <v>21</v>
      </c>
      <c r="J17" s="294"/>
      <c r="K17" s="296"/>
      <c r="L17" s="282"/>
      <c r="M17" s="282"/>
      <c r="N17" s="282"/>
      <c r="O17" s="282"/>
    </row>
    <row r="18" spans="1:15" s="176" customFormat="1" ht="18.75" customHeight="1" x14ac:dyDescent="0.25">
      <c r="A18" s="188"/>
      <c r="B18" s="177" t="s">
        <v>270</v>
      </c>
      <c r="C18" s="183" t="s">
        <v>22</v>
      </c>
      <c r="D18" s="192">
        <v>9500000000</v>
      </c>
      <c r="E18" s="192">
        <f>'Realisasi Maret'!G18</f>
        <v>2301531982</v>
      </c>
      <c r="F18" s="192">
        <v>708435724</v>
      </c>
      <c r="G18" s="192">
        <f t="shared" ref="G18:G27" si="3">E18+F18</f>
        <v>3009967706</v>
      </c>
      <c r="H18" s="24">
        <f t="shared" si="2"/>
        <v>0.31683870589473684</v>
      </c>
      <c r="I18" s="212" t="s">
        <v>23</v>
      </c>
      <c r="J18" s="294"/>
      <c r="K18" s="296"/>
      <c r="L18" s="282"/>
      <c r="M18" s="282"/>
      <c r="N18" s="282"/>
      <c r="O18" s="282"/>
    </row>
    <row r="19" spans="1:15" s="176" customFormat="1" ht="18.75" customHeight="1" x14ac:dyDescent="0.25">
      <c r="A19" s="188"/>
      <c r="B19" s="177" t="s">
        <v>271</v>
      </c>
      <c r="C19" s="183" t="s">
        <v>24</v>
      </c>
      <c r="D19" s="192">
        <v>1500000000</v>
      </c>
      <c r="E19" s="192">
        <f>'Realisasi Maret'!G19</f>
        <v>396320125</v>
      </c>
      <c r="F19" s="192">
        <v>100495587</v>
      </c>
      <c r="G19" s="192">
        <f t="shared" si="3"/>
        <v>496815712</v>
      </c>
      <c r="H19" s="24">
        <f t="shared" si="2"/>
        <v>0.33121047466666664</v>
      </c>
      <c r="I19" s="211" t="s">
        <v>25</v>
      </c>
      <c r="J19" s="294"/>
      <c r="K19" s="296"/>
      <c r="L19" s="282"/>
      <c r="M19" s="282"/>
      <c r="N19" s="282"/>
      <c r="O19" s="282"/>
    </row>
    <row r="20" spans="1:15" s="176" customFormat="1" ht="18.75" customHeight="1" x14ac:dyDescent="0.25">
      <c r="A20" s="188"/>
      <c r="B20" s="177" t="s">
        <v>272</v>
      </c>
      <c r="C20" s="183" t="s">
        <v>26</v>
      </c>
      <c r="D20" s="192">
        <v>3500000000</v>
      </c>
      <c r="E20" s="192">
        <f>'Realisasi Maret'!G20</f>
        <v>835485643</v>
      </c>
      <c r="F20" s="192">
        <v>159598671</v>
      </c>
      <c r="G20" s="192">
        <f t="shared" si="3"/>
        <v>995084314</v>
      </c>
      <c r="H20" s="24">
        <f t="shared" si="2"/>
        <v>0.284309804</v>
      </c>
      <c r="I20" s="211" t="s">
        <v>27</v>
      </c>
      <c r="J20" s="294"/>
      <c r="K20" s="296"/>
      <c r="L20" s="282"/>
      <c r="M20" s="282"/>
      <c r="N20" s="282"/>
      <c r="O20" s="282"/>
    </row>
    <row r="21" spans="1:15" s="176" customFormat="1" ht="18.75" customHeight="1" x14ac:dyDescent="0.25">
      <c r="A21" s="188"/>
      <c r="B21" s="177" t="s">
        <v>676</v>
      </c>
      <c r="C21" s="183" t="s">
        <v>677</v>
      </c>
      <c r="D21" s="192">
        <v>51000000000</v>
      </c>
      <c r="E21" s="192">
        <f>'Realisasi Maret'!G21</f>
        <v>12435572862</v>
      </c>
      <c r="F21" s="192">
        <f>3120250766+1511137495.36</f>
        <v>4631388261.3599997</v>
      </c>
      <c r="G21" s="192">
        <f t="shared" si="3"/>
        <v>17066961123.360001</v>
      </c>
      <c r="H21" s="24">
        <f t="shared" si="2"/>
        <v>0.3346462965364706</v>
      </c>
      <c r="I21" s="211" t="s">
        <v>28</v>
      </c>
      <c r="J21" s="294"/>
      <c r="K21" s="296"/>
      <c r="L21" s="282"/>
      <c r="M21" s="434"/>
      <c r="N21" s="282"/>
      <c r="O21" s="282"/>
    </row>
    <row r="22" spans="1:15" s="176" customFormat="1" ht="18.75" customHeight="1" x14ac:dyDescent="0.25">
      <c r="A22" s="188"/>
      <c r="B22" s="177" t="s">
        <v>273</v>
      </c>
      <c r="C22" s="183" t="s">
        <v>31</v>
      </c>
      <c r="D22" s="192">
        <v>1800000000</v>
      </c>
      <c r="E22" s="192">
        <f>'Realisasi Maret'!G22</f>
        <v>182962800</v>
      </c>
      <c r="F22" s="192">
        <v>53610900</v>
      </c>
      <c r="G22" s="192">
        <f t="shared" si="3"/>
        <v>236573700</v>
      </c>
      <c r="H22" s="24">
        <f t="shared" si="2"/>
        <v>0.13142983333333333</v>
      </c>
      <c r="I22" s="213" t="s">
        <v>32</v>
      </c>
      <c r="J22" s="294"/>
      <c r="K22" s="296"/>
      <c r="L22" s="282"/>
      <c r="M22" s="282"/>
      <c r="N22" s="282"/>
      <c r="O22" s="282"/>
    </row>
    <row r="23" spans="1:15" s="176" customFormat="1" ht="18.75" customHeight="1" x14ac:dyDescent="0.25">
      <c r="A23" s="188"/>
      <c r="B23" s="177" t="s">
        <v>274</v>
      </c>
      <c r="C23" s="183" t="s">
        <v>33</v>
      </c>
      <c r="D23" s="192">
        <v>1430800000</v>
      </c>
      <c r="E23" s="192">
        <f>'Realisasi Maret'!G23</f>
        <v>262916539</v>
      </c>
      <c r="F23" s="192">
        <v>71678138</v>
      </c>
      <c r="G23" s="192">
        <f t="shared" si="3"/>
        <v>334594677</v>
      </c>
      <c r="H23" s="24">
        <f t="shared" si="2"/>
        <v>0.23385146561364273</v>
      </c>
      <c r="I23" s="213" t="s">
        <v>34</v>
      </c>
      <c r="J23" s="294"/>
      <c r="K23" s="296"/>
      <c r="L23" s="282"/>
      <c r="M23" s="282"/>
      <c r="N23" s="282"/>
      <c r="O23" s="282"/>
    </row>
    <row r="24" spans="1:15" s="176" customFormat="1" ht="18.75" customHeight="1" x14ac:dyDescent="0.25">
      <c r="A24" s="188"/>
      <c r="B24" s="177" t="s">
        <v>275</v>
      </c>
      <c r="C24" s="183" t="s">
        <v>35</v>
      </c>
      <c r="D24" s="192">
        <v>115200000</v>
      </c>
      <c r="E24" s="192">
        <f>'Realisasi Maret'!G24</f>
        <v>24397900</v>
      </c>
      <c r="F24" s="192">
        <v>13278000</v>
      </c>
      <c r="G24" s="192">
        <f t="shared" si="3"/>
        <v>37675900</v>
      </c>
      <c r="H24" s="24">
        <f t="shared" si="2"/>
        <v>0.32704774305555556</v>
      </c>
      <c r="I24" s="213" t="s">
        <v>36</v>
      </c>
      <c r="J24" s="294"/>
      <c r="K24" s="296"/>
      <c r="L24" s="282"/>
      <c r="M24" s="282"/>
      <c r="N24" s="282"/>
      <c r="O24" s="282"/>
    </row>
    <row r="25" spans="1:15" s="176" customFormat="1" ht="18.75" customHeight="1" x14ac:dyDescent="0.25">
      <c r="A25" s="188"/>
      <c r="B25" s="177" t="s">
        <v>276</v>
      </c>
      <c r="C25" s="183" t="s">
        <v>29</v>
      </c>
      <c r="D25" s="192">
        <v>1606700000</v>
      </c>
      <c r="E25" s="192">
        <f>'Realisasi Maret'!G25</f>
        <v>0</v>
      </c>
      <c r="F25" s="192">
        <v>0</v>
      </c>
      <c r="G25" s="192">
        <f t="shared" si="3"/>
        <v>0</v>
      </c>
      <c r="H25" s="24">
        <f t="shared" si="2"/>
        <v>0</v>
      </c>
      <c r="I25" s="214" t="s">
        <v>30</v>
      </c>
      <c r="J25" s="294"/>
      <c r="K25" s="296"/>
      <c r="L25" s="295"/>
      <c r="M25" s="295"/>
      <c r="N25" s="282"/>
      <c r="O25" s="282"/>
    </row>
    <row r="26" spans="1:15" s="176" customFormat="1" ht="18.75" customHeight="1" x14ac:dyDescent="0.25">
      <c r="A26" s="188"/>
      <c r="B26" s="177" t="s">
        <v>277</v>
      </c>
      <c r="C26" s="171" t="s">
        <v>278</v>
      </c>
      <c r="D26" s="178">
        <v>101000000000</v>
      </c>
      <c r="E26" s="192">
        <f>'Realisasi Maret'!G26</f>
        <v>3371387077</v>
      </c>
      <c r="F26" s="178">
        <v>3564417047</v>
      </c>
      <c r="G26" s="192">
        <f>E26+F26</f>
        <v>6935804124</v>
      </c>
      <c r="H26" s="24">
        <f t="shared" si="2"/>
        <v>6.8671327960396045E-2</v>
      </c>
      <c r="I26" s="213" t="s">
        <v>37</v>
      </c>
      <c r="J26" s="294"/>
      <c r="K26" s="296"/>
      <c r="L26" s="295"/>
      <c r="M26" s="295"/>
    </row>
    <row r="27" spans="1:15" s="176" customFormat="1" x14ac:dyDescent="0.25">
      <c r="A27" s="188"/>
      <c r="B27" s="177" t="s">
        <v>279</v>
      </c>
      <c r="C27" s="183" t="s">
        <v>38</v>
      </c>
      <c r="D27" s="178">
        <v>19550000000</v>
      </c>
      <c r="E27" s="192">
        <f>'Realisasi Maret'!G27</f>
        <v>3042527774</v>
      </c>
      <c r="F27" s="178">
        <v>806551613</v>
      </c>
      <c r="G27" s="192">
        <f t="shared" si="3"/>
        <v>3849079387</v>
      </c>
      <c r="H27" s="24">
        <f t="shared" si="2"/>
        <v>0.19688385611253198</v>
      </c>
      <c r="I27" s="215" t="s">
        <v>474</v>
      </c>
      <c r="J27" s="294"/>
      <c r="K27" s="296"/>
      <c r="L27" s="295"/>
      <c r="M27" s="295"/>
    </row>
    <row r="28" spans="1:15" s="176" customFormat="1" x14ac:dyDescent="0.25">
      <c r="A28" s="169"/>
      <c r="B28" s="22"/>
      <c r="C28" s="25"/>
      <c r="D28" s="191"/>
      <c r="E28" s="192"/>
      <c r="F28" s="191"/>
      <c r="G28" s="191"/>
      <c r="H28" s="236"/>
      <c r="I28" s="216"/>
      <c r="J28" s="294"/>
      <c r="K28" s="295"/>
    </row>
    <row r="29" spans="1:15" s="187" customFormat="1" x14ac:dyDescent="0.25">
      <c r="A29" s="26" t="s">
        <v>39</v>
      </c>
      <c r="B29" s="22" t="s">
        <v>282</v>
      </c>
      <c r="C29" s="185" t="s">
        <v>40</v>
      </c>
      <c r="D29" s="196">
        <f>D30</f>
        <v>1000000000</v>
      </c>
      <c r="E29" s="196">
        <f t="shared" ref="E29:G29" si="4">E30</f>
        <v>166288000</v>
      </c>
      <c r="F29" s="196">
        <f t="shared" si="4"/>
        <v>56404000</v>
      </c>
      <c r="G29" s="196">
        <f t="shared" si="4"/>
        <v>222692000</v>
      </c>
      <c r="H29" s="236">
        <f t="shared" ref="H29:H35" si="5">G29/D29</f>
        <v>0.222692</v>
      </c>
      <c r="I29" s="216"/>
      <c r="J29" s="297"/>
      <c r="K29" s="314"/>
    </row>
    <row r="30" spans="1:15" s="187" customFormat="1" x14ac:dyDescent="0.25">
      <c r="A30" s="26" t="s">
        <v>413</v>
      </c>
      <c r="B30" s="170" t="s">
        <v>288</v>
      </c>
      <c r="C30" s="185" t="s">
        <v>55</v>
      </c>
      <c r="D30" s="196">
        <f>D31+D37</f>
        <v>1000000000</v>
      </c>
      <c r="E30" s="196">
        <f t="shared" ref="E30:G30" si="6">E31+E37</f>
        <v>166288000</v>
      </c>
      <c r="F30" s="196">
        <f>F31+F37</f>
        <v>56404000</v>
      </c>
      <c r="G30" s="196">
        <f t="shared" si="6"/>
        <v>222692000</v>
      </c>
      <c r="H30" s="236">
        <f t="shared" si="5"/>
        <v>0.222692</v>
      </c>
      <c r="I30" s="216"/>
      <c r="J30" s="297"/>
      <c r="K30" s="298"/>
    </row>
    <row r="31" spans="1:15" s="176" customFormat="1" x14ac:dyDescent="0.25">
      <c r="A31" s="188"/>
      <c r="B31" s="179" t="s">
        <v>488</v>
      </c>
      <c r="C31" s="185" t="s">
        <v>280</v>
      </c>
      <c r="D31" s="191">
        <f>SUM(D32:D35)</f>
        <v>750000000</v>
      </c>
      <c r="E31" s="191">
        <f t="shared" ref="E31:F31" si="7">SUM(E32:E35)</f>
        <v>88648000</v>
      </c>
      <c r="F31" s="191">
        <f t="shared" si="7"/>
        <v>29908000</v>
      </c>
      <c r="G31" s="191">
        <f>SUM(G32:G35)</f>
        <v>118556000</v>
      </c>
      <c r="H31" s="236">
        <f t="shared" si="5"/>
        <v>0.15807466666666667</v>
      </c>
      <c r="I31" s="207" t="s">
        <v>41</v>
      </c>
      <c r="J31" s="294"/>
      <c r="K31" s="295"/>
    </row>
    <row r="32" spans="1:15" s="176" customFormat="1" x14ac:dyDescent="0.25">
      <c r="A32" s="188"/>
      <c r="B32" s="177" t="s">
        <v>489</v>
      </c>
      <c r="C32" s="183" t="s">
        <v>42</v>
      </c>
      <c r="D32" s="192">
        <v>220000000</v>
      </c>
      <c r="E32" s="192">
        <f>'Realisasi Maret'!G32</f>
        <v>17453000</v>
      </c>
      <c r="F32" s="192">
        <v>6068000</v>
      </c>
      <c r="G32" s="192">
        <f>E32+F32</f>
        <v>23521000</v>
      </c>
      <c r="H32" s="24">
        <f t="shared" si="5"/>
        <v>0.10691363636363636</v>
      </c>
      <c r="I32" s="207"/>
      <c r="J32" s="294"/>
      <c r="K32" s="295"/>
    </row>
    <row r="33" spans="1:11" s="176" customFormat="1" x14ac:dyDescent="0.25">
      <c r="A33" s="188"/>
      <c r="B33" s="177" t="s">
        <v>490</v>
      </c>
      <c r="C33" s="183" t="s">
        <v>43</v>
      </c>
      <c r="D33" s="192">
        <v>494000000</v>
      </c>
      <c r="E33" s="192">
        <f>'Realisasi Maret'!G33</f>
        <v>63695000</v>
      </c>
      <c r="F33" s="192">
        <v>19010000</v>
      </c>
      <c r="G33" s="192">
        <f t="shared" ref="G33:G35" si="8">E33+F33</f>
        <v>82705000</v>
      </c>
      <c r="H33" s="24">
        <f t="shared" si="5"/>
        <v>0.16741902834008096</v>
      </c>
      <c r="I33" s="207"/>
      <c r="J33" s="175"/>
    </row>
    <row r="34" spans="1:11" s="176" customFormat="1" x14ac:dyDescent="0.25">
      <c r="A34" s="188"/>
      <c r="B34" s="177" t="s">
        <v>491</v>
      </c>
      <c r="C34" s="183" t="s">
        <v>44</v>
      </c>
      <c r="D34" s="192">
        <v>36000000</v>
      </c>
      <c r="E34" s="192">
        <f>'Realisasi Maret'!G34</f>
        <v>7500000</v>
      </c>
      <c r="F34" s="192">
        <v>4830000</v>
      </c>
      <c r="G34" s="192">
        <f t="shared" si="8"/>
        <v>12330000</v>
      </c>
      <c r="H34" s="24">
        <f t="shared" si="5"/>
        <v>0.34250000000000003</v>
      </c>
      <c r="I34" s="207"/>
      <c r="J34" s="175"/>
    </row>
    <row r="35" spans="1:11" s="176" customFormat="1" hidden="1" x14ac:dyDescent="0.25">
      <c r="A35" s="188"/>
      <c r="B35" s="177"/>
      <c r="C35" s="183" t="s">
        <v>45</v>
      </c>
      <c r="D35" s="192"/>
      <c r="E35" s="192">
        <f>'Realisasi Februari'!G35</f>
        <v>0</v>
      </c>
      <c r="F35" s="192"/>
      <c r="G35" s="192">
        <f t="shared" si="8"/>
        <v>0</v>
      </c>
      <c r="H35" s="24" t="e">
        <f t="shared" si="5"/>
        <v>#DIV/0!</v>
      </c>
      <c r="I35" s="207"/>
      <c r="J35" s="175"/>
    </row>
    <row r="36" spans="1:11" s="176" customFormat="1" ht="15" customHeight="1" x14ac:dyDescent="0.25">
      <c r="A36" s="188"/>
      <c r="B36" s="177"/>
      <c r="C36" s="166"/>
      <c r="D36" s="192"/>
      <c r="E36" s="192"/>
      <c r="F36" s="192"/>
      <c r="G36" s="192"/>
      <c r="H36" s="24"/>
      <c r="I36" s="207"/>
      <c r="J36" s="175"/>
    </row>
    <row r="37" spans="1:11" s="187" customFormat="1" x14ac:dyDescent="0.25">
      <c r="A37" s="26" t="s">
        <v>414</v>
      </c>
      <c r="B37" s="170" t="s">
        <v>492</v>
      </c>
      <c r="C37" s="185" t="s">
        <v>494</v>
      </c>
      <c r="D37" s="196">
        <f>D38</f>
        <v>250000000</v>
      </c>
      <c r="E37" s="196">
        <f t="shared" ref="E37:G37" si="9">E38</f>
        <v>77640000</v>
      </c>
      <c r="F37" s="196">
        <f t="shared" si="9"/>
        <v>26496000</v>
      </c>
      <c r="G37" s="196">
        <f t="shared" si="9"/>
        <v>104136000</v>
      </c>
      <c r="H37" s="236">
        <f>G37/D37</f>
        <v>0.41654400000000003</v>
      </c>
      <c r="I37" s="216"/>
      <c r="J37" s="186"/>
    </row>
    <row r="38" spans="1:11" s="176" customFormat="1" x14ac:dyDescent="0.25">
      <c r="A38" s="188"/>
      <c r="B38" s="177" t="s">
        <v>493</v>
      </c>
      <c r="C38" s="183" t="s">
        <v>495</v>
      </c>
      <c r="D38" s="192">
        <v>250000000</v>
      </c>
      <c r="E38" s="192">
        <f>'Realisasi Maret'!G38</f>
        <v>77640000</v>
      </c>
      <c r="F38" s="192">
        <v>26496000</v>
      </c>
      <c r="G38" s="181">
        <f>E38+F38</f>
        <v>104136000</v>
      </c>
      <c r="H38" s="24">
        <f>G38/D38</f>
        <v>0.41654400000000003</v>
      </c>
      <c r="I38" s="207" t="s">
        <v>41</v>
      </c>
      <c r="J38" s="175"/>
    </row>
    <row r="39" spans="1:11" s="176" customFormat="1" ht="15" customHeight="1" x14ac:dyDescent="0.25">
      <c r="A39" s="188"/>
      <c r="B39" s="177"/>
      <c r="C39" s="166"/>
      <c r="D39" s="192"/>
      <c r="E39" s="192"/>
      <c r="F39" s="192"/>
      <c r="G39" s="192"/>
      <c r="H39" s="24"/>
      <c r="I39" s="207"/>
      <c r="J39" s="175"/>
    </row>
    <row r="40" spans="1:11" s="176" customFormat="1" x14ac:dyDescent="0.25">
      <c r="A40" s="168" t="s">
        <v>46</v>
      </c>
      <c r="B40" s="22" t="s">
        <v>592</v>
      </c>
      <c r="C40" s="185" t="s">
        <v>594</v>
      </c>
      <c r="D40" s="196">
        <f>SUM(D41)</f>
        <v>135000000</v>
      </c>
      <c r="E40" s="196">
        <f t="shared" ref="E40:G40" si="10">SUM(E41)</f>
        <v>14600000</v>
      </c>
      <c r="F40" s="196">
        <f t="shared" si="10"/>
        <v>1600000</v>
      </c>
      <c r="G40" s="196">
        <f t="shared" si="10"/>
        <v>16200000</v>
      </c>
      <c r="H40" s="236">
        <f t="shared" ref="H40:H45" si="11">G40/D40</f>
        <v>0.12</v>
      </c>
      <c r="I40" s="207"/>
      <c r="J40" s="175"/>
      <c r="K40" s="315"/>
    </row>
    <row r="41" spans="1:11" s="176" customFormat="1" x14ac:dyDescent="0.25">
      <c r="A41" s="188"/>
      <c r="B41" s="170" t="s">
        <v>285</v>
      </c>
      <c r="C41" s="185" t="s">
        <v>444</v>
      </c>
      <c r="D41" s="191">
        <f>D42</f>
        <v>135000000</v>
      </c>
      <c r="E41" s="191">
        <f t="shared" ref="E41:G41" si="12">E42</f>
        <v>14600000</v>
      </c>
      <c r="F41" s="191">
        <f t="shared" si="12"/>
        <v>1600000</v>
      </c>
      <c r="G41" s="191">
        <f t="shared" si="12"/>
        <v>16200000</v>
      </c>
      <c r="H41" s="236">
        <f t="shared" si="11"/>
        <v>0.12</v>
      </c>
      <c r="I41" s="207"/>
      <c r="J41" s="175"/>
    </row>
    <row r="42" spans="1:11" s="187" customFormat="1" x14ac:dyDescent="0.25">
      <c r="A42" s="169"/>
      <c r="B42" s="170" t="s">
        <v>284</v>
      </c>
      <c r="C42" s="185" t="s">
        <v>595</v>
      </c>
      <c r="D42" s="191">
        <f>SUM(D43)</f>
        <v>135000000</v>
      </c>
      <c r="E42" s="191">
        <f t="shared" ref="E42:G42" si="13">SUM(E43)</f>
        <v>14600000</v>
      </c>
      <c r="F42" s="191">
        <f t="shared" si="13"/>
        <v>1600000</v>
      </c>
      <c r="G42" s="191">
        <f t="shared" si="13"/>
        <v>16200000</v>
      </c>
      <c r="H42" s="236">
        <f t="shared" si="11"/>
        <v>0.12</v>
      </c>
      <c r="I42" s="216"/>
      <c r="J42" s="186"/>
    </row>
    <row r="43" spans="1:11" s="176" customFormat="1" x14ac:dyDescent="0.25">
      <c r="A43" s="188"/>
      <c r="B43" s="170" t="s">
        <v>593</v>
      </c>
      <c r="C43" s="185" t="s">
        <v>595</v>
      </c>
      <c r="D43" s="191">
        <f>SUM(D44:D45)</f>
        <v>135000000</v>
      </c>
      <c r="E43" s="191">
        <f t="shared" ref="E43:G43" si="14">SUM(E44:E45)</f>
        <v>14600000</v>
      </c>
      <c r="F43" s="191">
        <f t="shared" si="14"/>
        <v>1600000</v>
      </c>
      <c r="G43" s="191">
        <f t="shared" si="14"/>
        <v>16200000</v>
      </c>
      <c r="H43" s="236">
        <f t="shared" si="11"/>
        <v>0.12</v>
      </c>
      <c r="I43" s="207" t="s">
        <v>47</v>
      </c>
      <c r="J43" s="175"/>
    </row>
    <row r="44" spans="1:11" s="176" customFormat="1" x14ac:dyDescent="0.25">
      <c r="A44" s="188"/>
      <c r="B44" s="178"/>
      <c r="C44" s="193" t="s">
        <v>316</v>
      </c>
      <c r="D44" s="192">
        <v>5000000</v>
      </c>
      <c r="E44" s="192">
        <f>'Realisasi Maret'!G44</f>
        <v>600000</v>
      </c>
      <c r="F44" s="192">
        <f>'[3]2022'!$G$23</f>
        <v>0</v>
      </c>
      <c r="G44" s="192">
        <f>E44+F44</f>
        <v>600000</v>
      </c>
      <c r="H44" s="24">
        <f t="shared" si="11"/>
        <v>0.12</v>
      </c>
      <c r="I44" s="207"/>
      <c r="J44" s="175"/>
    </row>
    <row r="45" spans="1:11" s="176" customFormat="1" x14ac:dyDescent="0.25">
      <c r="A45" s="188"/>
      <c r="B45" s="178"/>
      <c r="C45" s="193" t="s">
        <v>317</v>
      </c>
      <c r="D45" s="192">
        <v>130000000</v>
      </c>
      <c r="E45" s="192">
        <f>'Realisasi Maret'!G45</f>
        <v>14000000</v>
      </c>
      <c r="F45" s="192">
        <v>1600000</v>
      </c>
      <c r="G45" s="192">
        <f>E45+F45</f>
        <v>15600000</v>
      </c>
      <c r="H45" s="24">
        <f t="shared" si="11"/>
        <v>0.12</v>
      </c>
      <c r="I45" s="207"/>
      <c r="J45" s="175"/>
    </row>
    <row r="46" spans="1:11" s="176" customFormat="1" ht="15" customHeight="1" x14ac:dyDescent="0.25">
      <c r="A46" s="188"/>
      <c r="B46" s="177"/>
      <c r="C46" s="166"/>
      <c r="D46" s="192"/>
      <c r="E46" s="192"/>
      <c r="F46" s="192"/>
      <c r="G46" s="192"/>
      <c r="H46" s="24"/>
      <c r="I46" s="207"/>
      <c r="J46" s="175"/>
    </row>
    <row r="47" spans="1:11" s="176" customFormat="1" x14ac:dyDescent="0.25">
      <c r="A47" s="168" t="s">
        <v>8</v>
      </c>
      <c r="B47" s="22" t="s">
        <v>283</v>
      </c>
      <c r="C47" s="185" t="s">
        <v>48</v>
      </c>
      <c r="D47" s="196">
        <f>SUM(D48)</f>
        <v>50000000</v>
      </c>
      <c r="E47" s="196">
        <f t="shared" ref="E47:G47" si="15">SUM(E48)</f>
        <v>5100000</v>
      </c>
      <c r="F47" s="196">
        <f t="shared" si="15"/>
        <v>0</v>
      </c>
      <c r="G47" s="196">
        <f t="shared" si="15"/>
        <v>5100000</v>
      </c>
      <c r="H47" s="236">
        <f>G47/D47</f>
        <v>0.10199999999999999</v>
      </c>
      <c r="I47" s="207"/>
      <c r="J47" s="175"/>
      <c r="K47" s="270"/>
    </row>
    <row r="48" spans="1:11" s="176" customFormat="1" x14ac:dyDescent="0.25">
      <c r="A48" s="188"/>
      <c r="B48" s="170" t="s">
        <v>285</v>
      </c>
      <c r="C48" s="185" t="s">
        <v>444</v>
      </c>
      <c r="D48" s="191">
        <f>D49</f>
        <v>50000000</v>
      </c>
      <c r="E48" s="191">
        <f t="shared" ref="E48:G48" si="16">E49</f>
        <v>5100000</v>
      </c>
      <c r="F48" s="191">
        <f t="shared" si="16"/>
        <v>0</v>
      </c>
      <c r="G48" s="191">
        <f t="shared" si="16"/>
        <v>5100000</v>
      </c>
      <c r="H48" s="236">
        <f>G48/D48</f>
        <v>0.10199999999999999</v>
      </c>
      <c r="I48" s="207"/>
      <c r="J48" s="175"/>
    </row>
    <row r="49" spans="1:11" s="187" customFormat="1" x14ac:dyDescent="0.25">
      <c r="A49" s="169"/>
      <c r="B49" s="170" t="s">
        <v>284</v>
      </c>
      <c r="C49" s="185" t="s">
        <v>286</v>
      </c>
      <c r="D49" s="191">
        <f>SUM(D50)</f>
        <v>50000000</v>
      </c>
      <c r="E49" s="191">
        <f t="shared" ref="E49:G49" si="17">SUM(E50)</f>
        <v>5100000</v>
      </c>
      <c r="F49" s="191">
        <f t="shared" si="17"/>
        <v>0</v>
      </c>
      <c r="G49" s="191">
        <f t="shared" si="17"/>
        <v>5100000</v>
      </c>
      <c r="H49" s="236">
        <f>G49/D49</f>
        <v>0.10199999999999999</v>
      </c>
      <c r="I49" s="216"/>
      <c r="J49" s="186"/>
    </row>
    <row r="50" spans="1:11" s="176" customFormat="1" x14ac:dyDescent="0.25">
      <c r="A50" s="188"/>
      <c r="B50" s="178" t="s">
        <v>496</v>
      </c>
      <c r="C50" s="183" t="s">
        <v>497</v>
      </c>
      <c r="D50" s="192">
        <v>50000000</v>
      </c>
      <c r="E50" s="192">
        <f>'Realisasi Maret'!G50</f>
        <v>5100000</v>
      </c>
      <c r="F50" s="192"/>
      <c r="G50" s="192">
        <f>E50+F50</f>
        <v>5100000</v>
      </c>
      <c r="H50" s="24">
        <f>G50/D50</f>
        <v>0.10199999999999999</v>
      </c>
      <c r="I50" s="207" t="s">
        <v>47</v>
      </c>
      <c r="J50" s="175"/>
    </row>
    <row r="51" spans="1:11" s="176" customFormat="1" x14ac:dyDescent="0.25">
      <c r="A51" s="169"/>
      <c r="B51" s="22"/>
      <c r="C51" s="25"/>
      <c r="D51" s="192"/>
      <c r="E51" s="192"/>
      <c r="F51" s="192"/>
      <c r="G51" s="191"/>
      <c r="H51" s="236"/>
      <c r="I51" s="207"/>
      <c r="J51" s="175"/>
    </row>
    <row r="52" spans="1:11" s="176" customFormat="1" x14ac:dyDescent="0.25">
      <c r="A52" s="168" t="s">
        <v>49</v>
      </c>
      <c r="B52" s="22" t="s">
        <v>287</v>
      </c>
      <c r="C52" s="185" t="s">
        <v>50</v>
      </c>
      <c r="D52" s="196">
        <f>D53</f>
        <v>750000000</v>
      </c>
      <c r="E52" s="196">
        <f t="shared" ref="E52:G54" si="18">E53</f>
        <v>212340000</v>
      </c>
      <c r="F52" s="196">
        <f t="shared" si="18"/>
        <v>47120000</v>
      </c>
      <c r="G52" s="196">
        <f t="shared" si="18"/>
        <v>259460000</v>
      </c>
      <c r="H52" s="236">
        <f>G52/D52</f>
        <v>0.34594666666666668</v>
      </c>
      <c r="I52" s="207"/>
      <c r="J52" s="175"/>
      <c r="K52" s="270"/>
    </row>
    <row r="53" spans="1:11" s="187" customFormat="1" x14ac:dyDescent="0.25">
      <c r="A53" s="169"/>
      <c r="B53" s="170" t="s">
        <v>288</v>
      </c>
      <c r="C53" s="185" t="s">
        <v>55</v>
      </c>
      <c r="D53" s="191">
        <f>D54</f>
        <v>750000000</v>
      </c>
      <c r="E53" s="191">
        <f t="shared" si="18"/>
        <v>212340000</v>
      </c>
      <c r="F53" s="191">
        <f t="shared" si="18"/>
        <v>47120000</v>
      </c>
      <c r="G53" s="191">
        <f t="shared" si="18"/>
        <v>259460000</v>
      </c>
      <c r="H53" s="236">
        <f>G53/D53</f>
        <v>0.34594666666666668</v>
      </c>
      <c r="I53" s="216" t="s">
        <v>52</v>
      </c>
      <c r="J53" s="186"/>
    </row>
    <row r="54" spans="1:11" s="176" customFormat="1" x14ac:dyDescent="0.25">
      <c r="A54" s="188"/>
      <c r="B54" s="170" t="s">
        <v>499</v>
      </c>
      <c r="C54" s="185" t="s">
        <v>51</v>
      </c>
      <c r="D54" s="191">
        <f>D55</f>
        <v>750000000</v>
      </c>
      <c r="E54" s="191">
        <f t="shared" si="18"/>
        <v>212340000</v>
      </c>
      <c r="F54" s="191">
        <f t="shared" si="18"/>
        <v>47120000</v>
      </c>
      <c r="G54" s="191">
        <f t="shared" si="18"/>
        <v>259460000</v>
      </c>
      <c r="H54" s="236">
        <f>G54/D54</f>
        <v>0.34594666666666668</v>
      </c>
      <c r="I54" s="207"/>
      <c r="J54" s="175"/>
    </row>
    <row r="55" spans="1:11" s="176" customFormat="1" x14ac:dyDescent="0.25">
      <c r="A55" s="188"/>
      <c r="B55" s="178" t="s">
        <v>498</v>
      </c>
      <c r="C55" s="183" t="s">
        <v>51</v>
      </c>
      <c r="D55" s="192">
        <v>750000000</v>
      </c>
      <c r="E55" s="192">
        <f>'Realisasi Maret'!G55</f>
        <v>212340000</v>
      </c>
      <c r="F55" s="192">
        <v>47120000</v>
      </c>
      <c r="G55" s="192">
        <f>E55+F55</f>
        <v>259460000</v>
      </c>
      <c r="H55" s="24">
        <f>G55/D55</f>
        <v>0.34594666666666668</v>
      </c>
      <c r="I55" s="207"/>
      <c r="J55" s="175"/>
      <c r="K55" s="270"/>
    </row>
    <row r="56" spans="1:11" s="176" customFormat="1" x14ac:dyDescent="0.25">
      <c r="A56" s="169"/>
      <c r="B56" s="22"/>
      <c r="C56" s="25"/>
      <c r="D56" s="191"/>
      <c r="E56" s="191"/>
      <c r="F56" s="191"/>
      <c r="G56" s="191"/>
      <c r="H56" s="236"/>
      <c r="I56" s="217"/>
      <c r="J56" s="175"/>
    </row>
    <row r="57" spans="1:11" s="176" customFormat="1" x14ac:dyDescent="0.25">
      <c r="A57" s="168" t="s">
        <v>53</v>
      </c>
      <c r="B57" s="22" t="s">
        <v>289</v>
      </c>
      <c r="C57" s="185" t="s">
        <v>54</v>
      </c>
      <c r="D57" s="196">
        <f>D58+D63+D70</f>
        <v>30000000000</v>
      </c>
      <c r="E57" s="196">
        <f t="shared" ref="E57:G57" si="19">E58+E63+E70</f>
        <v>5942029800</v>
      </c>
      <c r="F57" s="196">
        <f t="shared" si="19"/>
        <v>1716438400</v>
      </c>
      <c r="G57" s="196">
        <f t="shared" si="19"/>
        <v>7658468200</v>
      </c>
      <c r="H57" s="236">
        <f t="shared" ref="H57:H72" si="20">G57/D57</f>
        <v>0.25528227333333331</v>
      </c>
      <c r="I57" s="209"/>
      <c r="J57" s="175"/>
      <c r="K57" s="270"/>
    </row>
    <row r="58" spans="1:11" s="187" customFormat="1" x14ac:dyDescent="0.25">
      <c r="A58" s="169" t="s">
        <v>413</v>
      </c>
      <c r="B58" s="170" t="s">
        <v>288</v>
      </c>
      <c r="C58" s="185" t="s">
        <v>55</v>
      </c>
      <c r="D58" s="191">
        <f>D59+D61</f>
        <v>1829475000</v>
      </c>
      <c r="E58" s="191">
        <f t="shared" ref="E58:G58" si="21">E59+E61</f>
        <v>110219950</v>
      </c>
      <c r="F58" s="191">
        <f t="shared" si="21"/>
        <v>44111400</v>
      </c>
      <c r="G58" s="191">
        <f t="shared" si="21"/>
        <v>154331350</v>
      </c>
      <c r="H58" s="236">
        <f t="shared" si="20"/>
        <v>8.435827218191011E-2</v>
      </c>
      <c r="I58" s="207"/>
      <c r="J58" s="186"/>
    </row>
    <row r="59" spans="1:11" s="187" customFormat="1" x14ac:dyDescent="0.25">
      <c r="A59" s="169"/>
      <c r="B59" s="170" t="s">
        <v>290</v>
      </c>
      <c r="C59" s="185" t="s">
        <v>56</v>
      </c>
      <c r="D59" s="191">
        <f>D60</f>
        <v>1000000000</v>
      </c>
      <c r="E59" s="191">
        <f t="shared" ref="E59:G59" si="22">E60</f>
        <v>81900000</v>
      </c>
      <c r="F59" s="191">
        <f t="shared" si="22"/>
        <v>35200000</v>
      </c>
      <c r="G59" s="191">
        <f t="shared" si="22"/>
        <v>117100000</v>
      </c>
      <c r="H59" s="236">
        <f t="shared" si="20"/>
        <v>0.1171</v>
      </c>
      <c r="I59" s="207"/>
      <c r="J59" s="186"/>
    </row>
    <row r="60" spans="1:11" s="176" customFormat="1" x14ac:dyDescent="0.25">
      <c r="A60" s="188"/>
      <c r="B60" s="178" t="s">
        <v>500</v>
      </c>
      <c r="C60" s="183" t="s">
        <v>56</v>
      </c>
      <c r="D60" s="192">
        <v>1000000000</v>
      </c>
      <c r="E60" s="192">
        <f>'Realisasi Maret'!G60</f>
        <v>81900000</v>
      </c>
      <c r="F60" s="192">
        <v>35200000</v>
      </c>
      <c r="G60" s="192">
        <f>E60+F60</f>
        <v>117100000</v>
      </c>
      <c r="H60" s="24">
        <f t="shared" si="20"/>
        <v>0.1171</v>
      </c>
      <c r="I60" s="207" t="s">
        <v>57</v>
      </c>
      <c r="J60" s="175"/>
    </row>
    <row r="61" spans="1:11" s="176" customFormat="1" x14ac:dyDescent="0.25">
      <c r="A61" s="188"/>
      <c r="B61" s="170" t="s">
        <v>291</v>
      </c>
      <c r="C61" s="185" t="s">
        <v>292</v>
      </c>
      <c r="D61" s="191">
        <f>D62</f>
        <v>829475000</v>
      </c>
      <c r="E61" s="191">
        <f t="shared" ref="E61:G61" si="23">E62</f>
        <v>28319950</v>
      </c>
      <c r="F61" s="191">
        <f t="shared" si="23"/>
        <v>8911400</v>
      </c>
      <c r="G61" s="191">
        <f t="shared" si="23"/>
        <v>37231350</v>
      </c>
      <c r="H61" s="236">
        <f t="shared" si="20"/>
        <v>4.4885439585279845E-2</v>
      </c>
      <c r="I61" s="207"/>
      <c r="J61" s="175"/>
    </row>
    <row r="62" spans="1:11" s="187" customFormat="1" ht="22.5" customHeight="1" x14ac:dyDescent="0.25">
      <c r="A62" s="169"/>
      <c r="B62" s="178" t="s">
        <v>501</v>
      </c>
      <c r="C62" s="183" t="s">
        <v>292</v>
      </c>
      <c r="D62" s="192">
        <v>829475000</v>
      </c>
      <c r="E62" s="192">
        <f>'Realisasi Maret'!G62</f>
        <v>28319950</v>
      </c>
      <c r="F62" s="192">
        <v>8911400</v>
      </c>
      <c r="G62" s="192">
        <f>E62+F62</f>
        <v>37231350</v>
      </c>
      <c r="H62" s="24">
        <f t="shared" si="20"/>
        <v>4.4885439585279845E-2</v>
      </c>
      <c r="I62" s="207" t="s">
        <v>58</v>
      </c>
      <c r="J62" s="186"/>
    </row>
    <row r="63" spans="1:11" s="176" customFormat="1" x14ac:dyDescent="0.25">
      <c r="A63" s="169" t="s">
        <v>414</v>
      </c>
      <c r="B63" s="170" t="s">
        <v>285</v>
      </c>
      <c r="C63" s="185" t="s">
        <v>444</v>
      </c>
      <c r="D63" s="191">
        <f>D64+D66+D68</f>
        <v>28168525000</v>
      </c>
      <c r="E63" s="191">
        <f t="shared" ref="E63:G63" si="24">E64+E66+E68</f>
        <v>5831809850</v>
      </c>
      <c r="F63" s="191">
        <f t="shared" si="24"/>
        <v>1672327000</v>
      </c>
      <c r="G63" s="191">
        <f t="shared" si="24"/>
        <v>7504136850</v>
      </c>
      <c r="H63" s="236">
        <f t="shared" si="20"/>
        <v>0.26640148357075849</v>
      </c>
      <c r="I63" s="207" t="s">
        <v>59</v>
      </c>
      <c r="J63" s="175"/>
    </row>
    <row r="64" spans="1:11" s="176" customFormat="1" x14ac:dyDescent="0.25">
      <c r="A64" s="169"/>
      <c r="B64" s="170" t="s">
        <v>293</v>
      </c>
      <c r="C64" s="185" t="s">
        <v>502</v>
      </c>
      <c r="D64" s="191">
        <f>D65</f>
        <v>74722500</v>
      </c>
      <c r="E64" s="191">
        <f t="shared" ref="E64:G64" si="25">E65</f>
        <v>23226000</v>
      </c>
      <c r="F64" s="191">
        <f t="shared" si="25"/>
        <v>0</v>
      </c>
      <c r="G64" s="191">
        <f t="shared" si="25"/>
        <v>23226000</v>
      </c>
      <c r="H64" s="236">
        <f t="shared" si="20"/>
        <v>0.31083007126367562</v>
      </c>
      <c r="I64" s="207"/>
      <c r="J64" s="175"/>
    </row>
    <row r="65" spans="1:11" s="176" customFormat="1" x14ac:dyDescent="0.25">
      <c r="A65" s="188"/>
      <c r="B65" s="178" t="s">
        <v>503</v>
      </c>
      <c r="C65" s="183" t="s">
        <v>504</v>
      </c>
      <c r="D65" s="192">
        <v>74722500</v>
      </c>
      <c r="E65" s="192">
        <f>'Realisasi Maret'!G65</f>
        <v>23226000</v>
      </c>
      <c r="F65" s="192">
        <f>[4]APRIL!$K$56</f>
        <v>0</v>
      </c>
      <c r="G65" s="192">
        <f>E65+F65</f>
        <v>23226000</v>
      </c>
      <c r="H65" s="24">
        <f t="shared" si="20"/>
        <v>0.31083007126367562</v>
      </c>
      <c r="I65" s="207"/>
      <c r="J65" s="175"/>
    </row>
    <row r="66" spans="1:11" s="176" customFormat="1" x14ac:dyDescent="0.25">
      <c r="A66" s="169"/>
      <c r="B66" s="170" t="s">
        <v>294</v>
      </c>
      <c r="C66" s="185" t="s">
        <v>295</v>
      </c>
      <c r="D66" s="191">
        <f>D67</f>
        <v>27808802500</v>
      </c>
      <c r="E66" s="191">
        <f t="shared" ref="E66:G66" si="26">E67</f>
        <v>5794850000</v>
      </c>
      <c r="F66" s="191">
        <f t="shared" si="26"/>
        <v>1669402000</v>
      </c>
      <c r="G66" s="191">
        <f t="shared" si="26"/>
        <v>7464252000</v>
      </c>
      <c r="H66" s="236">
        <f t="shared" si="20"/>
        <v>0.26841328388735902</v>
      </c>
      <c r="I66" s="218"/>
      <c r="J66" s="175"/>
    </row>
    <row r="67" spans="1:11" s="176" customFormat="1" x14ac:dyDescent="0.25">
      <c r="A67" s="188"/>
      <c r="B67" s="178" t="s">
        <v>505</v>
      </c>
      <c r="C67" s="183" t="s">
        <v>295</v>
      </c>
      <c r="D67" s="192">
        <v>27808802500</v>
      </c>
      <c r="E67" s="192">
        <f>'Realisasi Maret'!G67</f>
        <v>5794850000</v>
      </c>
      <c r="F67" s="192">
        <v>1669402000</v>
      </c>
      <c r="G67" s="192">
        <f>E67+F67</f>
        <v>7464252000</v>
      </c>
      <c r="H67" s="24">
        <f t="shared" si="20"/>
        <v>0.26841328388735902</v>
      </c>
      <c r="I67" s="218"/>
      <c r="J67" s="175"/>
    </row>
    <row r="68" spans="1:11" s="176" customFormat="1" x14ac:dyDescent="0.25">
      <c r="A68" s="188"/>
      <c r="B68" s="170" t="s">
        <v>296</v>
      </c>
      <c r="C68" s="185" t="s">
        <v>297</v>
      </c>
      <c r="D68" s="191">
        <f>SUM(D69)</f>
        <v>285000000</v>
      </c>
      <c r="E68" s="191">
        <f t="shared" ref="E68:G68" si="27">SUM(E69)</f>
        <v>13733850</v>
      </c>
      <c r="F68" s="191">
        <f t="shared" si="27"/>
        <v>2925000</v>
      </c>
      <c r="G68" s="191">
        <f t="shared" si="27"/>
        <v>16658850</v>
      </c>
      <c r="H68" s="24">
        <f t="shared" si="20"/>
        <v>5.8452105263157896E-2</v>
      </c>
      <c r="I68" s="218"/>
      <c r="J68" s="175"/>
    </row>
    <row r="69" spans="1:11" s="176" customFormat="1" x14ac:dyDescent="0.25">
      <c r="A69" s="188"/>
      <c r="B69" s="178" t="s">
        <v>506</v>
      </c>
      <c r="C69" s="183" t="s">
        <v>297</v>
      </c>
      <c r="D69" s="192">
        <v>285000000</v>
      </c>
      <c r="E69" s="192">
        <f>'Realisasi Maret'!G69</f>
        <v>13733850</v>
      </c>
      <c r="F69" s="192">
        <v>2925000</v>
      </c>
      <c r="G69" s="192">
        <f>E69+F69</f>
        <v>16658850</v>
      </c>
      <c r="H69" s="24">
        <f t="shared" si="20"/>
        <v>5.8452105263157896E-2</v>
      </c>
      <c r="I69" s="218"/>
      <c r="J69" s="175"/>
    </row>
    <row r="70" spans="1:11" s="176" customFormat="1" x14ac:dyDescent="0.25">
      <c r="A70" s="169" t="s">
        <v>415</v>
      </c>
      <c r="B70" s="170" t="s">
        <v>298</v>
      </c>
      <c r="C70" s="185" t="s">
        <v>60</v>
      </c>
      <c r="D70" s="191">
        <f>SUM(D71)</f>
        <v>2000000</v>
      </c>
      <c r="E70" s="191">
        <f t="shared" ref="E70:G70" si="28">SUM(E71)</f>
        <v>0</v>
      </c>
      <c r="F70" s="191">
        <f t="shared" si="28"/>
        <v>0</v>
      </c>
      <c r="G70" s="191">
        <f t="shared" si="28"/>
        <v>0</v>
      </c>
      <c r="H70" s="236">
        <f t="shared" si="20"/>
        <v>0</v>
      </c>
      <c r="I70" s="207" t="s">
        <v>61</v>
      </c>
      <c r="J70" s="175"/>
    </row>
    <row r="71" spans="1:11" s="187" customFormat="1" x14ac:dyDescent="0.25">
      <c r="A71" s="169"/>
      <c r="B71" s="170" t="s">
        <v>299</v>
      </c>
      <c r="C71" s="185" t="s">
        <v>300</v>
      </c>
      <c r="D71" s="191">
        <f>D72</f>
        <v>2000000</v>
      </c>
      <c r="E71" s="191">
        <f t="shared" ref="E71:G71" si="29">E72</f>
        <v>0</v>
      </c>
      <c r="F71" s="191">
        <f t="shared" si="29"/>
        <v>0</v>
      </c>
      <c r="G71" s="191">
        <f t="shared" si="29"/>
        <v>0</v>
      </c>
      <c r="H71" s="236">
        <f t="shared" si="20"/>
        <v>0</v>
      </c>
      <c r="I71" s="263"/>
      <c r="J71" s="186"/>
    </row>
    <row r="72" spans="1:11" s="176" customFormat="1" x14ac:dyDescent="0.25">
      <c r="A72" s="188"/>
      <c r="B72" s="178" t="s">
        <v>507</v>
      </c>
      <c r="C72" s="183" t="s">
        <v>300</v>
      </c>
      <c r="D72" s="192">
        <v>2000000</v>
      </c>
      <c r="E72" s="192">
        <f>'Realisasi Maret'!G72</f>
        <v>0</v>
      </c>
      <c r="F72" s="192">
        <v>0</v>
      </c>
      <c r="G72" s="192">
        <f>E72+F72</f>
        <v>0</v>
      </c>
      <c r="H72" s="24">
        <f t="shared" si="20"/>
        <v>0</v>
      </c>
      <c r="I72" s="219"/>
      <c r="J72" s="175"/>
    </row>
    <row r="73" spans="1:11" s="176" customFormat="1" x14ac:dyDescent="0.25">
      <c r="A73" s="188"/>
      <c r="B73" s="178"/>
      <c r="C73" s="183"/>
      <c r="D73" s="192"/>
      <c r="E73" s="192"/>
      <c r="F73" s="192"/>
      <c r="G73" s="191"/>
      <c r="H73" s="236"/>
      <c r="I73" s="220"/>
      <c r="J73" s="175"/>
    </row>
    <row r="74" spans="1:11" s="176" customFormat="1" x14ac:dyDescent="0.25">
      <c r="A74" s="168" t="s">
        <v>62</v>
      </c>
      <c r="B74" s="22" t="s">
        <v>301</v>
      </c>
      <c r="C74" s="185" t="s">
        <v>63</v>
      </c>
      <c r="D74" s="191">
        <f t="shared" ref="D74:G76" si="30">D75</f>
        <v>25000000</v>
      </c>
      <c r="E74" s="191">
        <f t="shared" si="30"/>
        <v>7580000</v>
      </c>
      <c r="F74" s="191">
        <f t="shared" si="30"/>
        <v>1705000</v>
      </c>
      <c r="G74" s="191">
        <f t="shared" si="30"/>
        <v>9285000</v>
      </c>
      <c r="H74" s="236">
        <f>G74/D74</f>
        <v>0.37140000000000001</v>
      </c>
      <c r="I74" s="209"/>
      <c r="J74" s="175"/>
      <c r="K74" s="270"/>
    </row>
    <row r="75" spans="1:11" s="187" customFormat="1" x14ac:dyDescent="0.25">
      <c r="A75" s="169"/>
      <c r="B75" s="170" t="s">
        <v>285</v>
      </c>
      <c r="C75" s="185" t="s">
        <v>444</v>
      </c>
      <c r="D75" s="191">
        <f t="shared" si="30"/>
        <v>25000000</v>
      </c>
      <c r="E75" s="191">
        <f t="shared" si="30"/>
        <v>7580000</v>
      </c>
      <c r="F75" s="191">
        <f t="shared" si="30"/>
        <v>1705000</v>
      </c>
      <c r="G75" s="191">
        <f t="shared" si="30"/>
        <v>9285000</v>
      </c>
      <c r="H75" s="236">
        <f>G75/D75</f>
        <v>0.37140000000000001</v>
      </c>
      <c r="I75" s="216"/>
      <c r="J75" s="186"/>
    </row>
    <row r="76" spans="1:11" s="187" customFormat="1" x14ac:dyDescent="0.25">
      <c r="A76" s="169"/>
      <c r="B76" s="170" t="s">
        <v>302</v>
      </c>
      <c r="C76" s="185" t="s">
        <v>64</v>
      </c>
      <c r="D76" s="191">
        <f>D77</f>
        <v>25000000</v>
      </c>
      <c r="E76" s="191">
        <f t="shared" si="30"/>
        <v>7580000</v>
      </c>
      <c r="F76" s="191">
        <f t="shared" si="30"/>
        <v>1705000</v>
      </c>
      <c r="G76" s="191">
        <f t="shared" si="30"/>
        <v>9285000</v>
      </c>
      <c r="H76" s="236">
        <f>G76/D76</f>
        <v>0.37140000000000001</v>
      </c>
      <c r="I76" s="216"/>
      <c r="J76" s="186"/>
    </row>
    <row r="77" spans="1:11" s="176" customFormat="1" x14ac:dyDescent="0.25">
      <c r="A77" s="27"/>
      <c r="B77" s="178" t="s">
        <v>508</v>
      </c>
      <c r="C77" s="28" t="s">
        <v>509</v>
      </c>
      <c r="D77" s="192">
        <v>25000000</v>
      </c>
      <c r="E77" s="192">
        <f>'Realisasi Maret'!G77</f>
        <v>7580000</v>
      </c>
      <c r="F77" s="192">
        <f>'[5]2022'!$G$29</f>
        <v>1705000</v>
      </c>
      <c r="G77" s="192">
        <f>E77+F77</f>
        <v>9285000</v>
      </c>
      <c r="H77" s="24">
        <f>G77/D77</f>
        <v>0.37140000000000001</v>
      </c>
      <c r="I77" s="207" t="s">
        <v>65</v>
      </c>
      <c r="J77" s="175"/>
    </row>
    <row r="78" spans="1:11" s="176" customFormat="1" x14ac:dyDescent="0.25">
      <c r="A78" s="27"/>
      <c r="B78" s="178"/>
      <c r="C78" s="171"/>
      <c r="D78" s="192"/>
      <c r="E78" s="192"/>
      <c r="F78" s="192"/>
      <c r="G78" s="191"/>
      <c r="H78" s="236"/>
      <c r="I78" s="207"/>
      <c r="J78" s="175"/>
    </row>
    <row r="79" spans="1:11" s="176" customFormat="1" x14ac:dyDescent="0.25">
      <c r="A79" s="168" t="s">
        <v>66</v>
      </c>
      <c r="B79" s="22" t="s">
        <v>303</v>
      </c>
      <c r="C79" s="185" t="s">
        <v>67</v>
      </c>
      <c r="D79" s="196">
        <f>SUM(D80)</f>
        <v>15000000000</v>
      </c>
      <c r="E79" s="196"/>
      <c r="F79" s="196">
        <f t="shared" ref="F79:G79" si="31">SUM(F80)</f>
        <v>0</v>
      </c>
      <c r="G79" s="196">
        <f t="shared" si="31"/>
        <v>0</v>
      </c>
      <c r="H79" s="236">
        <f t="shared" ref="H79:H84" si="32">G79/D79</f>
        <v>0</v>
      </c>
      <c r="I79" s="209"/>
      <c r="J79" s="175"/>
    </row>
    <row r="80" spans="1:11" s="176" customFormat="1" x14ac:dyDescent="0.25">
      <c r="A80" s="27"/>
      <c r="B80" s="170" t="s">
        <v>298</v>
      </c>
      <c r="C80" s="185" t="s">
        <v>60</v>
      </c>
      <c r="D80" s="191">
        <f>D81+D83</f>
        <v>15000000000</v>
      </c>
      <c r="E80" s="191"/>
      <c r="F80" s="191">
        <f t="shared" ref="F80:G80" si="33">F81+F83</f>
        <v>0</v>
      </c>
      <c r="G80" s="191">
        <f t="shared" si="33"/>
        <v>0</v>
      </c>
      <c r="H80" s="236">
        <f t="shared" si="32"/>
        <v>0</v>
      </c>
      <c r="I80" s="207"/>
      <c r="J80" s="175"/>
    </row>
    <row r="81" spans="1:11" s="187" customFormat="1" x14ac:dyDescent="0.25">
      <c r="A81" s="264"/>
      <c r="B81" s="170" t="s">
        <v>304</v>
      </c>
      <c r="C81" s="185" t="s">
        <v>68</v>
      </c>
      <c r="D81" s="191">
        <f>D82</f>
        <v>14990050000</v>
      </c>
      <c r="E81" s="191"/>
      <c r="F81" s="191">
        <f t="shared" ref="F81:G81" si="34">F82</f>
        <v>0</v>
      </c>
      <c r="G81" s="191">
        <f t="shared" si="34"/>
        <v>0</v>
      </c>
      <c r="H81" s="236">
        <f t="shared" si="32"/>
        <v>0</v>
      </c>
      <c r="I81" s="216" t="s">
        <v>69</v>
      </c>
      <c r="J81" s="186"/>
    </row>
    <row r="82" spans="1:11" s="176" customFormat="1" x14ac:dyDescent="0.25">
      <c r="A82" s="27"/>
      <c r="B82" s="178" t="s">
        <v>510</v>
      </c>
      <c r="C82" s="183" t="s">
        <v>68</v>
      </c>
      <c r="D82" s="192">
        <v>14990050000</v>
      </c>
      <c r="E82" s="192">
        <f>'Realisasi Maret'!G82</f>
        <v>0</v>
      </c>
      <c r="F82" s="192"/>
      <c r="G82" s="192">
        <f>E82+F82</f>
        <v>0</v>
      </c>
      <c r="H82" s="24">
        <f t="shared" si="32"/>
        <v>0</v>
      </c>
      <c r="I82" s="207" t="s">
        <v>69</v>
      </c>
      <c r="J82" s="175"/>
    </row>
    <row r="83" spans="1:11" s="187" customFormat="1" x14ac:dyDescent="0.25">
      <c r="A83" s="264"/>
      <c r="B83" s="170" t="s">
        <v>305</v>
      </c>
      <c r="C83" s="185" t="s">
        <v>70</v>
      </c>
      <c r="D83" s="191">
        <f>D84</f>
        <v>9950000</v>
      </c>
      <c r="E83" s="191"/>
      <c r="F83" s="191">
        <f t="shared" ref="F83:G83" si="35">F84</f>
        <v>0</v>
      </c>
      <c r="G83" s="191">
        <f t="shared" si="35"/>
        <v>0</v>
      </c>
      <c r="H83" s="236">
        <f t="shared" si="32"/>
        <v>0</v>
      </c>
      <c r="I83" s="216" t="s">
        <v>71</v>
      </c>
      <c r="J83" s="186"/>
    </row>
    <row r="84" spans="1:11" s="176" customFormat="1" x14ac:dyDescent="0.25">
      <c r="A84" s="27"/>
      <c r="B84" s="178" t="s">
        <v>511</v>
      </c>
      <c r="C84" s="183" t="s">
        <v>70</v>
      </c>
      <c r="D84" s="192">
        <v>9950000</v>
      </c>
      <c r="E84" s="192">
        <f>'Realisasi Maret'!G84</f>
        <v>0</v>
      </c>
      <c r="F84" s="192"/>
      <c r="G84" s="192">
        <f>E84+F84</f>
        <v>0</v>
      </c>
      <c r="H84" s="24">
        <f t="shared" si="32"/>
        <v>0</v>
      </c>
      <c r="I84" s="207" t="s">
        <v>71</v>
      </c>
      <c r="J84" s="175"/>
    </row>
    <row r="85" spans="1:11" s="176" customFormat="1" x14ac:dyDescent="0.25">
      <c r="A85" s="27"/>
      <c r="B85" s="178"/>
      <c r="C85" s="183"/>
      <c r="D85" s="192"/>
      <c r="E85" s="192"/>
      <c r="F85" s="192"/>
      <c r="G85" s="191"/>
      <c r="H85" s="236"/>
      <c r="I85" s="207"/>
      <c r="J85" s="175"/>
    </row>
    <row r="86" spans="1:11" s="176" customFormat="1" ht="24" customHeight="1" x14ac:dyDescent="0.25">
      <c r="A86" s="29" t="s">
        <v>73</v>
      </c>
      <c r="B86" s="22" t="s">
        <v>307</v>
      </c>
      <c r="C86" s="185" t="s">
        <v>82</v>
      </c>
      <c r="D86" s="196">
        <f>D87</f>
        <v>25440000</v>
      </c>
      <c r="E86" s="196">
        <f t="shared" ref="E86:G86" si="36">E87</f>
        <v>4400000</v>
      </c>
      <c r="F86" s="196">
        <f t="shared" si="36"/>
        <v>2300000</v>
      </c>
      <c r="G86" s="196">
        <f t="shared" si="36"/>
        <v>6700000</v>
      </c>
      <c r="H86" s="236">
        <f>G86/D86</f>
        <v>0.26336477987421386</v>
      </c>
      <c r="I86" s="209"/>
      <c r="J86" s="175"/>
      <c r="K86" s="270"/>
    </row>
    <row r="87" spans="1:11" s="187" customFormat="1" x14ac:dyDescent="0.25">
      <c r="A87" s="169"/>
      <c r="B87" s="170" t="s">
        <v>285</v>
      </c>
      <c r="C87" s="185" t="s">
        <v>444</v>
      </c>
      <c r="D87" s="191">
        <f>D89</f>
        <v>25440000</v>
      </c>
      <c r="E87" s="191">
        <f t="shared" ref="E87:G87" si="37">E89</f>
        <v>4400000</v>
      </c>
      <c r="F87" s="191">
        <f t="shared" si="37"/>
        <v>2300000</v>
      </c>
      <c r="G87" s="191">
        <f t="shared" si="37"/>
        <v>6700000</v>
      </c>
      <c r="H87" s="236">
        <f>G87/D87</f>
        <v>0.26336477987421386</v>
      </c>
      <c r="I87" s="207" t="s">
        <v>83</v>
      </c>
      <c r="J87" s="186"/>
    </row>
    <row r="88" spans="1:11" s="187" customFormat="1" x14ac:dyDescent="0.25">
      <c r="A88" s="169"/>
      <c r="B88" s="170" t="s">
        <v>308</v>
      </c>
      <c r="C88" s="172" t="s">
        <v>309</v>
      </c>
      <c r="D88" s="191">
        <f>D89</f>
        <v>25440000</v>
      </c>
      <c r="E88" s="191">
        <f t="shared" ref="E88:G88" si="38">E89</f>
        <v>4400000</v>
      </c>
      <c r="F88" s="191">
        <f t="shared" si="38"/>
        <v>2300000</v>
      </c>
      <c r="G88" s="191">
        <f t="shared" si="38"/>
        <v>6700000</v>
      </c>
      <c r="H88" s="236">
        <f>G88/D88</f>
        <v>0.26336477987421386</v>
      </c>
      <c r="I88" s="216"/>
      <c r="J88" s="186"/>
    </row>
    <row r="89" spans="1:11" s="176" customFormat="1" x14ac:dyDescent="0.25">
      <c r="A89" s="188"/>
      <c r="B89" s="178" t="s">
        <v>512</v>
      </c>
      <c r="C89" s="171" t="s">
        <v>309</v>
      </c>
      <c r="D89" s="192">
        <v>25440000</v>
      </c>
      <c r="E89" s="192">
        <f>'Realisasi Maret'!G89</f>
        <v>4400000</v>
      </c>
      <c r="F89" s="192">
        <v>2300000</v>
      </c>
      <c r="G89" s="192">
        <f>E89+F89</f>
        <v>6700000</v>
      </c>
      <c r="H89" s="24">
        <f>G89/D89</f>
        <v>0.26336477987421386</v>
      </c>
      <c r="I89" s="207"/>
      <c r="J89" s="175"/>
    </row>
    <row r="90" spans="1:11" s="176" customFormat="1" x14ac:dyDescent="0.25">
      <c r="A90" s="169"/>
      <c r="B90" s="22"/>
      <c r="C90" s="25"/>
      <c r="D90" s="192"/>
      <c r="E90" s="192"/>
      <c r="F90" s="192"/>
      <c r="G90" s="191"/>
      <c r="H90" s="236"/>
      <c r="I90" s="221"/>
      <c r="J90" s="175"/>
    </row>
    <row r="91" spans="1:11" s="176" customFormat="1" ht="24.75" customHeight="1" x14ac:dyDescent="0.25">
      <c r="A91" s="29" t="s">
        <v>74</v>
      </c>
      <c r="B91" s="22" t="s">
        <v>310</v>
      </c>
      <c r="C91" s="185" t="s">
        <v>84</v>
      </c>
      <c r="D91" s="196">
        <f>D92</f>
        <v>1000000000</v>
      </c>
      <c r="E91" s="196">
        <f t="shared" ref="E91:G91" si="39">E92</f>
        <v>0</v>
      </c>
      <c r="F91" s="196">
        <f t="shared" si="39"/>
        <v>0</v>
      </c>
      <c r="G91" s="196">
        <f t="shared" si="39"/>
        <v>0</v>
      </c>
      <c r="H91" s="236">
        <f>G91/D91</f>
        <v>0</v>
      </c>
      <c r="I91" s="207"/>
      <c r="J91" s="175"/>
    </row>
    <row r="92" spans="1:11" s="187" customFormat="1" x14ac:dyDescent="0.25">
      <c r="A92" s="169"/>
      <c r="B92" s="170" t="s">
        <v>288</v>
      </c>
      <c r="C92" s="185" t="s">
        <v>55</v>
      </c>
      <c r="D92" s="191">
        <f>D93</f>
        <v>1000000000</v>
      </c>
      <c r="E92" s="191">
        <f t="shared" ref="E92" si="40">E93</f>
        <v>0</v>
      </c>
      <c r="F92" s="191">
        <f t="shared" ref="F92:G93" si="41">F93</f>
        <v>0</v>
      </c>
      <c r="G92" s="191">
        <f t="shared" si="41"/>
        <v>0</v>
      </c>
      <c r="H92" s="236">
        <f>G92/D92</f>
        <v>0</v>
      </c>
      <c r="I92" s="216" t="s">
        <v>85</v>
      </c>
      <c r="J92" s="186"/>
    </row>
    <row r="93" spans="1:11" s="187" customFormat="1" x14ac:dyDescent="0.25">
      <c r="A93" s="169"/>
      <c r="B93" s="170" t="s">
        <v>311</v>
      </c>
      <c r="C93" s="185" t="s">
        <v>312</v>
      </c>
      <c r="D93" s="191">
        <f>D94</f>
        <v>1000000000</v>
      </c>
      <c r="E93" s="191">
        <f t="shared" ref="E93" si="42">E94</f>
        <v>0</v>
      </c>
      <c r="F93" s="191">
        <f t="shared" si="41"/>
        <v>0</v>
      </c>
      <c r="G93" s="191">
        <f t="shared" si="41"/>
        <v>0</v>
      </c>
      <c r="H93" s="236">
        <f>G93/D93</f>
        <v>0</v>
      </c>
      <c r="I93" s="216"/>
      <c r="J93" s="186"/>
    </row>
    <row r="94" spans="1:11" s="176" customFormat="1" x14ac:dyDescent="0.25">
      <c r="A94" s="188"/>
      <c r="B94" s="178" t="s">
        <v>513</v>
      </c>
      <c r="C94" s="183" t="s">
        <v>312</v>
      </c>
      <c r="D94" s="192">
        <v>1000000000</v>
      </c>
      <c r="E94" s="192">
        <f>'Realisasi Maret'!G94</f>
        <v>0</v>
      </c>
      <c r="F94" s="192"/>
      <c r="G94" s="192">
        <f>E94+F94</f>
        <v>0</v>
      </c>
      <c r="H94" s="24">
        <f>G94/D94</f>
        <v>0</v>
      </c>
      <c r="I94" s="207"/>
      <c r="J94" s="175"/>
    </row>
    <row r="95" spans="1:11" s="176" customFormat="1" x14ac:dyDescent="0.25">
      <c r="A95" s="188"/>
      <c r="B95" s="178"/>
      <c r="C95" s="183"/>
      <c r="D95" s="192"/>
      <c r="E95" s="192"/>
      <c r="F95" s="192"/>
      <c r="G95" s="191"/>
      <c r="H95" s="236"/>
      <c r="I95" s="207"/>
      <c r="J95" s="175"/>
    </row>
    <row r="96" spans="1:11" s="176" customFormat="1" ht="41.25" customHeight="1" x14ac:dyDescent="0.25">
      <c r="A96" s="168" t="s">
        <v>86</v>
      </c>
      <c r="B96" s="189" t="s">
        <v>313</v>
      </c>
      <c r="C96" s="30" t="s">
        <v>87</v>
      </c>
      <c r="D96" s="196">
        <f>SUM(D97)</f>
        <v>1663748324</v>
      </c>
      <c r="E96" s="196">
        <f t="shared" ref="E96:G96" si="43">SUM(E97)</f>
        <v>0</v>
      </c>
      <c r="F96" s="196">
        <f t="shared" si="43"/>
        <v>1079761191</v>
      </c>
      <c r="G96" s="196">
        <f t="shared" si="43"/>
        <v>1079761191</v>
      </c>
      <c r="H96" s="236">
        <f>G96/D96</f>
        <v>0.64899310516149922</v>
      </c>
      <c r="I96" s="209"/>
      <c r="J96" s="175"/>
    </row>
    <row r="97" spans="1:11" s="176" customFormat="1" ht="30" x14ac:dyDescent="0.25">
      <c r="A97" s="188"/>
      <c r="B97" s="189" t="s">
        <v>314</v>
      </c>
      <c r="C97" s="30" t="s">
        <v>88</v>
      </c>
      <c r="D97" s="191">
        <f>SUM(D98:D100)</f>
        <v>1663748324</v>
      </c>
      <c r="E97" s="191">
        <f t="shared" ref="E97:G97" si="44">SUM(E98:E100)</f>
        <v>0</v>
      </c>
      <c r="F97" s="191">
        <f t="shared" si="44"/>
        <v>1079761191</v>
      </c>
      <c r="G97" s="191">
        <f t="shared" si="44"/>
        <v>1079761191</v>
      </c>
      <c r="H97" s="236">
        <f>G97/D97</f>
        <v>0.64899310516149922</v>
      </c>
      <c r="I97" s="209"/>
      <c r="J97" s="175"/>
    </row>
    <row r="98" spans="1:11" s="176" customFormat="1" x14ac:dyDescent="0.25">
      <c r="A98" s="184" t="s">
        <v>89</v>
      </c>
      <c r="B98" s="190" t="s">
        <v>314</v>
      </c>
      <c r="C98" s="183" t="s">
        <v>90</v>
      </c>
      <c r="D98" s="192">
        <v>895097348</v>
      </c>
      <c r="E98" s="192">
        <f>'Realisasi Maret'!G98</f>
        <v>0</v>
      </c>
      <c r="F98" s="192">
        <v>1079761191</v>
      </c>
      <c r="G98" s="192">
        <f>E98+F98</f>
        <v>1079761191</v>
      </c>
      <c r="H98" s="24">
        <f>G98/D98</f>
        <v>1.206305876576008</v>
      </c>
      <c r="I98" s="207"/>
      <c r="J98" s="175"/>
    </row>
    <row r="99" spans="1:11" s="176" customFormat="1" x14ac:dyDescent="0.25">
      <c r="A99" s="184" t="s">
        <v>91</v>
      </c>
      <c r="B99" s="190" t="s">
        <v>314</v>
      </c>
      <c r="C99" s="183" t="s">
        <v>92</v>
      </c>
      <c r="D99" s="192">
        <v>455948308</v>
      </c>
      <c r="E99" s="192">
        <f>'Realisasi Maret'!G99</f>
        <v>0</v>
      </c>
      <c r="F99" s="192"/>
      <c r="G99" s="192">
        <f t="shared" ref="G99:G100" si="45">E99+F99</f>
        <v>0</v>
      </c>
      <c r="H99" s="24">
        <f>G99/D99</f>
        <v>0</v>
      </c>
      <c r="I99" s="207" t="s">
        <v>93</v>
      </c>
      <c r="J99" s="175"/>
    </row>
    <row r="100" spans="1:11" s="176" customFormat="1" x14ac:dyDescent="0.25">
      <c r="A100" s="184" t="s">
        <v>72</v>
      </c>
      <c r="B100" s="190" t="s">
        <v>314</v>
      </c>
      <c r="C100" s="183" t="s">
        <v>94</v>
      </c>
      <c r="D100" s="192">
        <v>312702668</v>
      </c>
      <c r="E100" s="192">
        <f>'Realisasi Maret'!G100</f>
        <v>0</v>
      </c>
      <c r="F100" s="192"/>
      <c r="G100" s="192">
        <f t="shared" si="45"/>
        <v>0</v>
      </c>
      <c r="H100" s="24">
        <f>G100/D100</f>
        <v>0</v>
      </c>
      <c r="I100" s="207"/>
      <c r="J100" s="175"/>
    </row>
    <row r="101" spans="1:11" s="176" customFormat="1" x14ac:dyDescent="0.25">
      <c r="A101" s="188"/>
      <c r="B101" s="178"/>
      <c r="C101" s="183"/>
      <c r="D101" s="192"/>
      <c r="E101" s="192"/>
      <c r="F101" s="192"/>
      <c r="G101" s="191"/>
      <c r="H101" s="236"/>
      <c r="I101" s="207"/>
      <c r="J101" s="175"/>
    </row>
    <row r="102" spans="1:11" s="176" customFormat="1" ht="21" customHeight="1" x14ac:dyDescent="0.25">
      <c r="A102" s="169" t="s">
        <v>95</v>
      </c>
      <c r="B102" s="189" t="s">
        <v>315</v>
      </c>
      <c r="C102" s="185" t="s">
        <v>96</v>
      </c>
      <c r="D102" s="191">
        <f>SUM(D104+D115+D119+D123+D135+D137+D150+D152+D159+D199+D213+D219+D109+D112+D131)</f>
        <v>146329185066</v>
      </c>
      <c r="E102" s="191">
        <f>SUM(E104+E115+E119+E123+E135+E137+E150+E152+E159+E199+E213+E219+E109+E112+E131)</f>
        <v>23306603470.760002</v>
      </c>
      <c r="F102" s="191">
        <f>SUM(F104+F115+F119+F123+F135+F137+F150+F152+F159+F199+F213+F219+F109+F112+F131)</f>
        <v>65147213028.689995</v>
      </c>
      <c r="G102" s="191">
        <f>SUM(G104+G115+G119+G123+G135+G137+G150+G152+G159+G199+G213+G219+G109+G112+G131)</f>
        <v>88453816499.450012</v>
      </c>
      <c r="H102" s="236">
        <f>G102/D102</f>
        <v>0.60448513028726292</v>
      </c>
      <c r="I102" s="209"/>
      <c r="J102" s="175"/>
      <c r="K102" s="270"/>
    </row>
    <row r="103" spans="1:11" s="176" customFormat="1" x14ac:dyDescent="0.25">
      <c r="A103" s="169"/>
      <c r="B103" s="31"/>
      <c r="C103" s="32"/>
      <c r="D103" s="192"/>
      <c r="E103" s="192"/>
      <c r="F103" s="192"/>
      <c r="G103" s="191"/>
      <c r="H103" s="236"/>
      <c r="I103" s="209"/>
      <c r="J103" s="175"/>
    </row>
    <row r="104" spans="1:11" s="176" customFormat="1" x14ac:dyDescent="0.25">
      <c r="A104" s="168" t="s">
        <v>19</v>
      </c>
      <c r="B104" s="189" t="s">
        <v>587</v>
      </c>
      <c r="C104" s="180" t="s">
        <v>589</v>
      </c>
      <c r="D104" s="191">
        <f>D106</f>
        <v>3029424600</v>
      </c>
      <c r="E104" s="191"/>
      <c r="F104" s="191">
        <f t="shared" ref="F104:G104" si="46">F106</f>
        <v>0</v>
      </c>
      <c r="G104" s="191">
        <f t="shared" si="46"/>
        <v>0</v>
      </c>
      <c r="H104" s="236">
        <f>G104/D104</f>
        <v>0</v>
      </c>
      <c r="I104" s="209"/>
      <c r="J104" s="175"/>
    </row>
    <row r="105" spans="1:11" s="176" customFormat="1" x14ac:dyDescent="0.25">
      <c r="A105" s="168"/>
      <c r="B105" s="189" t="s">
        <v>588</v>
      </c>
      <c r="C105" s="180" t="s">
        <v>589</v>
      </c>
      <c r="D105" s="191"/>
      <c r="E105" s="191"/>
      <c r="F105" s="192"/>
      <c r="G105" s="191"/>
      <c r="H105" s="236"/>
      <c r="I105" s="209"/>
      <c r="J105" s="175"/>
    </row>
    <row r="106" spans="1:11" s="176" customFormat="1" x14ac:dyDescent="0.25">
      <c r="A106" s="168"/>
      <c r="B106" s="189" t="s">
        <v>584</v>
      </c>
      <c r="C106" s="180" t="s">
        <v>585</v>
      </c>
      <c r="D106" s="191">
        <f>D107</f>
        <v>3029424600</v>
      </c>
      <c r="E106" s="191">
        <f t="shared" ref="E106:G106" si="47">E107</f>
        <v>0</v>
      </c>
      <c r="F106" s="191">
        <f t="shared" si="47"/>
        <v>0</v>
      </c>
      <c r="G106" s="191">
        <f t="shared" si="47"/>
        <v>0</v>
      </c>
      <c r="H106" s="236">
        <f>G106/D106</f>
        <v>0</v>
      </c>
      <c r="I106" s="209"/>
      <c r="J106" s="175"/>
    </row>
    <row r="107" spans="1:11" s="176" customFormat="1" x14ac:dyDescent="0.25">
      <c r="A107" s="168"/>
      <c r="B107" s="190"/>
      <c r="C107" s="33" t="s">
        <v>586</v>
      </c>
      <c r="D107" s="192">
        <v>3029424600</v>
      </c>
      <c r="E107" s="192">
        <f>'Realisasi Maret'!G107</f>
        <v>0</v>
      </c>
      <c r="F107" s="192"/>
      <c r="G107" s="192">
        <f>E107+F107</f>
        <v>0</v>
      </c>
      <c r="H107" s="24">
        <f>G107/D107</f>
        <v>0</v>
      </c>
      <c r="I107" s="209"/>
      <c r="J107" s="175"/>
    </row>
    <row r="108" spans="1:11" s="176" customFormat="1" x14ac:dyDescent="0.25">
      <c r="A108" s="169"/>
      <c r="B108" s="31"/>
      <c r="C108" s="32"/>
      <c r="D108" s="192"/>
      <c r="E108" s="192"/>
      <c r="F108" s="192"/>
      <c r="G108" s="191"/>
      <c r="H108" s="236"/>
      <c r="I108" s="209"/>
      <c r="J108" s="175"/>
    </row>
    <row r="109" spans="1:11" s="176" customFormat="1" x14ac:dyDescent="0.25">
      <c r="A109" s="168"/>
      <c r="B109" s="190" t="s">
        <v>590</v>
      </c>
      <c r="C109" s="172" t="s">
        <v>581</v>
      </c>
      <c r="D109" s="191">
        <f>SUM(D110)</f>
        <v>0</v>
      </c>
      <c r="E109" s="191"/>
      <c r="F109" s="191">
        <f t="shared" ref="F109:G109" si="48">SUM(F110)</f>
        <v>0</v>
      </c>
      <c r="G109" s="191">
        <f t="shared" si="48"/>
        <v>0</v>
      </c>
      <c r="H109" s="236"/>
      <c r="I109" s="207"/>
      <c r="J109" s="175"/>
    </row>
    <row r="110" spans="1:11" s="176" customFormat="1" x14ac:dyDescent="0.25">
      <c r="A110" s="168"/>
      <c r="B110" s="189"/>
      <c r="C110" s="193" t="s">
        <v>622</v>
      </c>
      <c r="D110" s="192">
        <v>0</v>
      </c>
      <c r="E110" s="192">
        <f>'Realisasi Maret'!G110</f>
        <v>0</v>
      </c>
      <c r="F110" s="192">
        <v>0</v>
      </c>
      <c r="G110" s="192">
        <f>E110+F110</f>
        <v>0</v>
      </c>
      <c r="H110" s="236"/>
      <c r="I110" s="207"/>
      <c r="J110" s="175"/>
    </row>
    <row r="111" spans="1:11" s="176" customFormat="1" x14ac:dyDescent="0.25">
      <c r="A111" s="168"/>
      <c r="B111" s="189"/>
      <c r="C111" s="193"/>
      <c r="D111" s="192"/>
      <c r="E111" s="192"/>
      <c r="F111" s="192"/>
      <c r="G111" s="192"/>
      <c r="H111" s="236"/>
      <c r="I111" s="207"/>
      <c r="J111" s="175"/>
    </row>
    <row r="112" spans="1:11" s="176" customFormat="1" x14ac:dyDescent="0.25">
      <c r="A112" s="169"/>
      <c r="B112" s="190" t="s">
        <v>318</v>
      </c>
      <c r="C112" s="172" t="s">
        <v>319</v>
      </c>
      <c r="D112" s="191">
        <f>SUM(D113:D113)</f>
        <v>186000000</v>
      </c>
      <c r="E112" s="191">
        <f>SUM(E113:E113)</f>
        <v>493696000</v>
      </c>
      <c r="F112" s="191">
        <f>SUM(F113:F113)</f>
        <v>137501335</v>
      </c>
      <c r="G112" s="191">
        <f>SUM(G113:G113)</f>
        <v>631197335</v>
      </c>
      <c r="H112" s="236">
        <f>G112/D112</f>
        <v>3.3935340591397849</v>
      </c>
      <c r="I112" s="209"/>
      <c r="J112" s="175"/>
      <c r="K112" s="270"/>
    </row>
    <row r="113" spans="1:10" s="176" customFormat="1" x14ac:dyDescent="0.25">
      <c r="A113" s="169"/>
      <c r="B113" s="190"/>
      <c r="C113" s="193" t="s">
        <v>670</v>
      </c>
      <c r="D113" s="192">
        <v>186000000</v>
      </c>
      <c r="E113" s="192">
        <f>'Realisasi Maret'!G113</f>
        <v>493696000</v>
      </c>
      <c r="F113" s="192">
        <v>137501335</v>
      </c>
      <c r="G113" s="192">
        <f t="shared" ref="G113" si="49">E113+F113</f>
        <v>631197335</v>
      </c>
      <c r="H113" s="24">
        <f t="shared" ref="H113" si="50">G113/D113</f>
        <v>3.3935340591397849</v>
      </c>
      <c r="I113" s="209"/>
      <c r="J113" s="175"/>
    </row>
    <row r="114" spans="1:10" s="176" customFormat="1" x14ac:dyDescent="0.25">
      <c r="A114" s="169"/>
      <c r="B114" s="190"/>
      <c r="C114" s="193"/>
      <c r="D114" s="192"/>
      <c r="E114" s="192"/>
      <c r="F114" s="192"/>
      <c r="G114" s="191"/>
      <c r="H114" s="236"/>
      <c r="I114" s="209"/>
      <c r="J114" s="175"/>
    </row>
    <row r="115" spans="1:10" s="176" customFormat="1" x14ac:dyDescent="0.25">
      <c r="A115" s="168" t="s">
        <v>46</v>
      </c>
      <c r="B115" s="189" t="s">
        <v>342</v>
      </c>
      <c r="C115" s="185" t="s">
        <v>343</v>
      </c>
      <c r="D115" s="191">
        <f>D116</f>
        <v>1000000000</v>
      </c>
      <c r="E115" s="191">
        <f t="shared" ref="E115:G115" si="51">E116</f>
        <v>0</v>
      </c>
      <c r="F115" s="191">
        <f t="shared" si="51"/>
        <v>0</v>
      </c>
      <c r="G115" s="191">
        <f t="shared" si="51"/>
        <v>0</v>
      </c>
      <c r="H115" s="236">
        <f>G115/D115</f>
        <v>0</v>
      </c>
      <c r="I115" s="209"/>
      <c r="J115" s="175"/>
    </row>
    <row r="116" spans="1:10" s="187" customFormat="1" x14ac:dyDescent="0.25">
      <c r="A116" s="169"/>
      <c r="B116" s="189" t="s">
        <v>344</v>
      </c>
      <c r="C116" s="185" t="s">
        <v>349</v>
      </c>
      <c r="D116" s="191">
        <f>D117</f>
        <v>1000000000</v>
      </c>
      <c r="E116" s="191">
        <f t="shared" ref="E116" si="52">E117</f>
        <v>0</v>
      </c>
      <c r="F116" s="191">
        <f t="shared" ref="F116:G116" si="53">F117</f>
        <v>0</v>
      </c>
      <c r="G116" s="191">
        <f t="shared" si="53"/>
        <v>0</v>
      </c>
      <c r="H116" s="236">
        <f>G116/D116</f>
        <v>0</v>
      </c>
      <c r="I116" s="210"/>
      <c r="J116" s="186"/>
    </row>
    <row r="117" spans="1:10" s="176" customFormat="1" x14ac:dyDescent="0.25">
      <c r="A117" s="169"/>
      <c r="B117" s="190"/>
      <c r="C117" s="171" t="s">
        <v>162</v>
      </c>
      <c r="D117" s="192">
        <v>1000000000</v>
      </c>
      <c r="E117" s="192">
        <f>'Realisasi Maret'!E117</f>
        <v>0</v>
      </c>
      <c r="F117" s="192"/>
      <c r="G117" s="192">
        <f>E117+F117</f>
        <v>0</v>
      </c>
      <c r="H117" s="24">
        <f>G117/D117</f>
        <v>0</v>
      </c>
      <c r="I117" s="209"/>
      <c r="J117" s="175"/>
    </row>
    <row r="118" spans="1:10" s="176" customFormat="1" x14ac:dyDescent="0.25">
      <c r="A118" s="169"/>
      <c r="B118" s="190"/>
      <c r="C118" s="193"/>
      <c r="D118" s="192"/>
      <c r="E118" s="192"/>
      <c r="F118" s="192"/>
      <c r="G118" s="191"/>
      <c r="H118" s="236"/>
      <c r="I118" s="209"/>
      <c r="J118" s="175"/>
    </row>
    <row r="119" spans="1:10" s="176" customFormat="1" x14ac:dyDescent="0.25">
      <c r="A119" s="168" t="s">
        <v>8</v>
      </c>
      <c r="B119" s="189" t="s">
        <v>320</v>
      </c>
      <c r="C119" s="185" t="s">
        <v>97</v>
      </c>
      <c r="D119" s="196">
        <f>SUM(D120:D121)</f>
        <v>2750000000</v>
      </c>
      <c r="E119" s="196">
        <f t="shared" ref="E119:G119" si="54">SUM(E120:E121)</f>
        <v>799848328.0999999</v>
      </c>
      <c r="F119" s="196">
        <f t="shared" si="54"/>
        <v>212733221.21000001</v>
      </c>
      <c r="G119" s="196">
        <f t="shared" si="54"/>
        <v>1012581549.3099999</v>
      </c>
      <c r="H119" s="236">
        <f>G119/D119</f>
        <v>0.3682114724763636</v>
      </c>
      <c r="I119" s="207"/>
      <c r="J119" s="175"/>
    </row>
    <row r="120" spans="1:10" s="176" customFormat="1" x14ac:dyDescent="0.25">
      <c r="A120" s="188"/>
      <c r="B120" s="190" t="s">
        <v>514</v>
      </c>
      <c r="C120" s="183" t="s">
        <v>515</v>
      </c>
      <c r="D120" s="192">
        <v>2500000000</v>
      </c>
      <c r="E120" s="192">
        <f>'Realisasi Maret'!G120</f>
        <v>780924051.0999999</v>
      </c>
      <c r="F120" s="192">
        <v>206012964.21000001</v>
      </c>
      <c r="G120" s="192">
        <f>E120+F120</f>
        <v>986937015.30999994</v>
      </c>
      <c r="H120" s="24">
        <f>G120/D120</f>
        <v>0.39477480612399996</v>
      </c>
      <c r="I120" s="207"/>
      <c r="J120" s="175"/>
    </row>
    <row r="121" spans="1:10" s="176" customFormat="1" x14ac:dyDescent="0.25">
      <c r="A121" s="188"/>
      <c r="B121" s="190" t="s">
        <v>517</v>
      </c>
      <c r="C121" s="183" t="s">
        <v>516</v>
      </c>
      <c r="D121" s="192">
        <v>250000000</v>
      </c>
      <c r="E121" s="192">
        <f>'Realisasi Maret'!G121</f>
        <v>18924277</v>
      </c>
      <c r="F121" s="192">
        <v>6720257</v>
      </c>
      <c r="G121" s="192">
        <f>E121+F121</f>
        <v>25644534</v>
      </c>
      <c r="H121" s="24">
        <f>G121/D121</f>
        <v>0.102578136</v>
      </c>
      <c r="I121" s="207"/>
      <c r="J121" s="175"/>
    </row>
    <row r="122" spans="1:10" s="176" customFormat="1" x14ac:dyDescent="0.25">
      <c r="A122" s="188"/>
      <c r="B122" s="178"/>
      <c r="C122" s="183"/>
      <c r="D122" s="192"/>
      <c r="E122" s="192"/>
      <c r="F122" s="192"/>
      <c r="G122" s="191"/>
      <c r="H122" s="236"/>
      <c r="I122" s="207"/>
      <c r="J122" s="175"/>
    </row>
    <row r="123" spans="1:10" s="176" customFormat="1" x14ac:dyDescent="0.25">
      <c r="A123" s="168" t="s">
        <v>49</v>
      </c>
      <c r="B123" s="189" t="s">
        <v>321</v>
      </c>
      <c r="C123" s="180" t="s">
        <v>98</v>
      </c>
      <c r="D123" s="196">
        <f>D124</f>
        <v>2600000000</v>
      </c>
      <c r="E123" s="196">
        <f t="shared" ref="E123:G124" si="55">E124</f>
        <v>62837505.939999998</v>
      </c>
      <c r="F123" s="196">
        <f>F124</f>
        <v>72678003.489999995</v>
      </c>
      <c r="G123" s="196">
        <f t="shared" si="55"/>
        <v>135515509.43000001</v>
      </c>
      <c r="H123" s="236">
        <f t="shared" ref="H123:H129" si="56">G123/D123</f>
        <v>5.2121349780769231E-2</v>
      </c>
      <c r="I123" s="207"/>
      <c r="J123" s="175"/>
    </row>
    <row r="124" spans="1:10" s="176" customFormat="1" x14ac:dyDescent="0.25">
      <c r="A124" s="168"/>
      <c r="B124" s="189" t="s">
        <v>322</v>
      </c>
      <c r="C124" s="180" t="s">
        <v>323</v>
      </c>
      <c r="D124" s="196">
        <f>SUM(D126:D129)</f>
        <v>2600000000</v>
      </c>
      <c r="E124" s="196">
        <f>E125</f>
        <v>62837505.939999998</v>
      </c>
      <c r="F124" s="196">
        <f t="shared" si="55"/>
        <v>72678003.489999995</v>
      </c>
      <c r="G124" s="196">
        <f t="shared" si="55"/>
        <v>135515509.43000001</v>
      </c>
      <c r="H124" s="236">
        <f t="shared" si="56"/>
        <v>5.2121349780769231E-2</v>
      </c>
      <c r="I124" s="207"/>
      <c r="J124" s="175"/>
    </row>
    <row r="125" spans="1:10" s="176" customFormat="1" x14ac:dyDescent="0.25">
      <c r="A125" s="168"/>
      <c r="B125" s="189" t="s">
        <v>518</v>
      </c>
      <c r="C125" s="180" t="s">
        <v>323</v>
      </c>
      <c r="D125" s="196">
        <f>SUM(D126:D129)</f>
        <v>2600000000</v>
      </c>
      <c r="E125" s="196">
        <f>'Realisasi Maret'!G125</f>
        <v>62837505.939999998</v>
      </c>
      <c r="F125" s="196">
        <v>72678003.489999995</v>
      </c>
      <c r="G125" s="196">
        <f>E125+F125</f>
        <v>135515509.43000001</v>
      </c>
      <c r="H125" s="236">
        <f t="shared" si="56"/>
        <v>5.2121349780769231E-2</v>
      </c>
      <c r="I125" s="207"/>
      <c r="J125" s="175"/>
    </row>
    <row r="126" spans="1:10" s="176" customFormat="1" x14ac:dyDescent="0.25">
      <c r="A126" s="169"/>
      <c r="B126" s="177"/>
      <c r="C126" s="193" t="s">
        <v>324</v>
      </c>
      <c r="D126" s="181">
        <v>1200000000</v>
      </c>
      <c r="E126" s="181">
        <f>'Realisasi Maret'!G126</f>
        <v>24931480</v>
      </c>
      <c r="F126" s="181">
        <v>27602710</v>
      </c>
      <c r="G126" s="192">
        <f>E126+F126</f>
        <v>52534190</v>
      </c>
      <c r="H126" s="24">
        <f t="shared" si="56"/>
        <v>4.3778491666666669E-2</v>
      </c>
      <c r="I126" s="207"/>
      <c r="J126" s="175"/>
    </row>
    <row r="127" spans="1:10" s="176" customFormat="1" x14ac:dyDescent="0.25">
      <c r="A127" s="169"/>
      <c r="B127" s="177"/>
      <c r="C127" s="193" t="s">
        <v>325</v>
      </c>
      <c r="D127" s="181">
        <v>600000000</v>
      </c>
      <c r="E127" s="181">
        <f>'Realisasi Maret'!G127</f>
        <v>12046032.51</v>
      </c>
      <c r="F127" s="181">
        <v>10890362.49</v>
      </c>
      <c r="G127" s="192">
        <f t="shared" ref="G127:G129" si="57">E127+F127</f>
        <v>22936395</v>
      </c>
      <c r="H127" s="24">
        <f t="shared" si="56"/>
        <v>3.8227324999999999E-2</v>
      </c>
      <c r="I127" s="207"/>
      <c r="J127" s="175"/>
    </row>
    <row r="128" spans="1:10" s="176" customFormat="1" x14ac:dyDescent="0.25">
      <c r="A128" s="169"/>
      <c r="B128" s="178"/>
      <c r="C128" s="193" t="s">
        <v>578</v>
      </c>
      <c r="D128" s="181">
        <v>0</v>
      </c>
      <c r="E128" s="181">
        <f>'Realisasi Maret'!G128</f>
        <v>0</v>
      </c>
      <c r="F128" s="181"/>
      <c r="G128" s="192">
        <f t="shared" si="57"/>
        <v>0</v>
      </c>
      <c r="H128" s="24" t="e">
        <f t="shared" si="56"/>
        <v>#DIV/0!</v>
      </c>
      <c r="I128" s="207"/>
      <c r="J128" s="175"/>
    </row>
    <row r="129" spans="1:10" s="176" customFormat="1" x14ac:dyDescent="0.25">
      <c r="A129" s="169"/>
      <c r="B129" s="178"/>
      <c r="C129" s="193" t="s">
        <v>326</v>
      </c>
      <c r="D129" s="181">
        <v>800000000</v>
      </c>
      <c r="E129" s="181">
        <f>'Realisasi Maret'!G129</f>
        <v>17260264</v>
      </c>
      <c r="F129" s="181">
        <v>24630136</v>
      </c>
      <c r="G129" s="192">
        <f t="shared" si="57"/>
        <v>41890400</v>
      </c>
      <c r="H129" s="24">
        <f t="shared" si="56"/>
        <v>5.2363E-2</v>
      </c>
      <c r="I129" s="207"/>
      <c r="J129" s="175"/>
    </row>
    <row r="130" spans="1:10" s="176" customFormat="1" x14ac:dyDescent="0.25">
      <c r="A130" s="169"/>
      <c r="B130" s="170"/>
      <c r="C130" s="185"/>
      <c r="D130" s="191"/>
      <c r="E130" s="191"/>
      <c r="F130" s="191"/>
      <c r="G130" s="192"/>
      <c r="H130" s="24"/>
      <c r="I130" s="207"/>
      <c r="J130" s="175"/>
    </row>
    <row r="131" spans="1:10" s="176" customFormat="1" x14ac:dyDescent="0.25">
      <c r="A131" s="168" t="s">
        <v>53</v>
      </c>
      <c r="B131" s="189" t="s">
        <v>623</v>
      </c>
      <c r="C131" s="180" t="s">
        <v>626</v>
      </c>
      <c r="D131" s="196">
        <f>D132</f>
        <v>0</v>
      </c>
      <c r="E131" s="196">
        <f t="shared" ref="E131:G131" si="58">E132</f>
        <v>46320717.810000002</v>
      </c>
      <c r="F131" s="196">
        <f t="shared" si="58"/>
        <v>95084993.239999995</v>
      </c>
      <c r="G131" s="196">
        <f t="shared" si="58"/>
        <v>141405711.05000001</v>
      </c>
      <c r="H131" s="236" t="e">
        <f>G131/D131</f>
        <v>#DIV/0!</v>
      </c>
      <c r="I131" s="207"/>
      <c r="J131" s="175"/>
    </row>
    <row r="132" spans="1:10" s="176" customFormat="1" x14ac:dyDescent="0.25">
      <c r="A132" s="169"/>
      <c r="B132" s="189" t="s">
        <v>624</v>
      </c>
      <c r="C132" s="180" t="s">
        <v>626</v>
      </c>
      <c r="D132" s="196">
        <f>D133</f>
        <v>0</v>
      </c>
      <c r="E132" s="196">
        <f t="shared" ref="E132" si="59">E133</f>
        <v>46320717.810000002</v>
      </c>
      <c r="F132" s="196">
        <f t="shared" ref="F132:G132" si="60">F133</f>
        <v>95084993.239999995</v>
      </c>
      <c r="G132" s="196">
        <f t="shared" si="60"/>
        <v>141405711.05000001</v>
      </c>
      <c r="H132" s="236" t="e">
        <f>G132/D132</f>
        <v>#DIV/0!</v>
      </c>
      <c r="I132" s="207"/>
      <c r="J132" s="175"/>
    </row>
    <row r="133" spans="1:10" s="176" customFormat="1" x14ac:dyDescent="0.25">
      <c r="A133" s="188"/>
      <c r="B133" s="190" t="s">
        <v>625</v>
      </c>
      <c r="C133" s="33" t="s">
        <v>626</v>
      </c>
      <c r="D133" s="181">
        <v>0</v>
      </c>
      <c r="E133" s="181">
        <f>'Realisasi Maret'!G133</f>
        <v>46320717.810000002</v>
      </c>
      <c r="F133" s="181">
        <v>95084993.239999995</v>
      </c>
      <c r="G133" s="181">
        <f>E133+F133</f>
        <v>141405711.05000001</v>
      </c>
      <c r="H133" s="24" t="e">
        <f>G133/D133</f>
        <v>#DIV/0!</v>
      </c>
      <c r="I133" s="207"/>
      <c r="J133" s="175"/>
    </row>
    <row r="134" spans="1:10" s="176" customFormat="1" x14ac:dyDescent="0.25">
      <c r="A134" s="169"/>
      <c r="B134" s="177"/>
      <c r="C134" s="193"/>
      <c r="D134" s="181"/>
      <c r="E134" s="181"/>
      <c r="F134" s="181"/>
      <c r="G134" s="192"/>
      <c r="H134" s="24"/>
      <c r="I134" s="207"/>
      <c r="J134" s="175"/>
    </row>
    <row r="135" spans="1:10" s="176" customFormat="1" x14ac:dyDescent="0.25">
      <c r="A135" s="168" t="s">
        <v>62</v>
      </c>
      <c r="B135" s="179" t="s">
        <v>99</v>
      </c>
      <c r="C135" s="180" t="s">
        <v>100</v>
      </c>
      <c r="D135" s="191">
        <v>0</v>
      </c>
      <c r="E135" s="191"/>
      <c r="F135" s="191">
        <v>0</v>
      </c>
      <c r="G135" s="191">
        <f>E135+F135</f>
        <v>0</v>
      </c>
      <c r="H135" s="236"/>
      <c r="I135" s="207"/>
      <c r="J135" s="175"/>
    </row>
    <row r="136" spans="1:10" s="176" customFormat="1" x14ac:dyDescent="0.25">
      <c r="A136" s="169"/>
      <c r="B136" s="170"/>
      <c r="C136" s="185"/>
      <c r="D136" s="191"/>
      <c r="E136" s="191"/>
      <c r="F136" s="191"/>
      <c r="G136" s="191"/>
      <c r="H136" s="236"/>
      <c r="I136" s="207"/>
      <c r="J136" s="175"/>
    </row>
    <row r="137" spans="1:10" s="176" customFormat="1" x14ac:dyDescent="0.25">
      <c r="A137" s="168" t="s">
        <v>66</v>
      </c>
      <c r="B137" s="189" t="s">
        <v>328</v>
      </c>
      <c r="C137" s="180" t="s">
        <v>101</v>
      </c>
      <c r="D137" s="191">
        <f>SUM(D138:D148)</f>
        <v>0</v>
      </c>
      <c r="E137" s="191">
        <f t="shared" ref="E137:G137" si="61">SUM(E138:E148)</f>
        <v>220967283</v>
      </c>
      <c r="F137" s="191">
        <f t="shared" si="61"/>
        <v>947773486</v>
      </c>
      <c r="G137" s="191">
        <f t="shared" si="61"/>
        <v>1168740769</v>
      </c>
      <c r="H137" s="236" t="e">
        <f t="shared" ref="H137:H145" si="62">G137/D137</f>
        <v>#DIV/0!</v>
      </c>
      <c r="I137" s="207"/>
      <c r="J137" s="175"/>
    </row>
    <row r="138" spans="1:10" s="176" customFormat="1" x14ac:dyDescent="0.25">
      <c r="A138" s="188"/>
      <c r="B138" s="190" t="s">
        <v>329</v>
      </c>
      <c r="C138" s="33" t="s">
        <v>102</v>
      </c>
      <c r="D138" s="192"/>
      <c r="E138" s="192">
        <f>'Realisasi Maret'!G138</f>
        <v>9951428</v>
      </c>
      <c r="F138" s="192">
        <v>1757250</v>
      </c>
      <c r="G138" s="192">
        <f>E138+F138</f>
        <v>11708678</v>
      </c>
      <c r="H138" s="24" t="e">
        <f t="shared" si="62"/>
        <v>#DIV/0!</v>
      </c>
      <c r="I138" s="207"/>
      <c r="J138" s="175"/>
    </row>
    <row r="139" spans="1:10" s="176" customFormat="1" x14ac:dyDescent="0.25">
      <c r="A139" s="188"/>
      <c r="B139" s="190" t="s">
        <v>330</v>
      </c>
      <c r="C139" s="33" t="s">
        <v>103</v>
      </c>
      <c r="D139" s="192"/>
      <c r="E139" s="192">
        <f>'Realisasi Maret'!G139</f>
        <v>10924470</v>
      </c>
      <c r="F139" s="192">
        <v>1576193</v>
      </c>
      <c r="G139" s="192">
        <f t="shared" ref="G139:G147" si="63">E139+F139</f>
        <v>12500663</v>
      </c>
      <c r="H139" s="24" t="e">
        <f t="shared" si="62"/>
        <v>#DIV/0!</v>
      </c>
      <c r="I139" s="207"/>
      <c r="J139" s="175"/>
    </row>
    <row r="140" spans="1:10" s="176" customFormat="1" x14ac:dyDescent="0.25">
      <c r="A140" s="188"/>
      <c r="B140" s="190" t="s">
        <v>331</v>
      </c>
      <c r="C140" s="33" t="s">
        <v>104</v>
      </c>
      <c r="D140" s="192"/>
      <c r="E140" s="192">
        <f>'Realisasi Maret'!G140</f>
        <v>7195061</v>
      </c>
      <c r="F140" s="192">
        <v>895200</v>
      </c>
      <c r="G140" s="192">
        <f t="shared" si="63"/>
        <v>8090261</v>
      </c>
      <c r="H140" s="24" t="e">
        <f t="shared" si="62"/>
        <v>#DIV/0!</v>
      </c>
      <c r="I140" s="207"/>
      <c r="J140" s="175"/>
    </row>
    <row r="141" spans="1:10" s="176" customFormat="1" x14ac:dyDescent="0.25">
      <c r="A141" s="188"/>
      <c r="B141" s="190" t="s">
        <v>332</v>
      </c>
      <c r="C141" s="33" t="s">
        <v>105</v>
      </c>
      <c r="D141" s="192"/>
      <c r="E141" s="192">
        <f>'Realisasi Maret'!G141</f>
        <v>691061</v>
      </c>
      <c r="F141" s="192">
        <v>48392</v>
      </c>
      <c r="G141" s="192">
        <f t="shared" si="63"/>
        <v>739453</v>
      </c>
      <c r="H141" s="24" t="e">
        <f t="shared" si="62"/>
        <v>#DIV/0!</v>
      </c>
      <c r="I141" s="207"/>
      <c r="J141" s="175"/>
    </row>
    <row r="142" spans="1:10" s="176" customFormat="1" x14ac:dyDescent="0.25">
      <c r="A142" s="188"/>
      <c r="B142" s="190" t="s">
        <v>333</v>
      </c>
      <c r="C142" s="33" t="s">
        <v>106</v>
      </c>
      <c r="D142" s="192"/>
      <c r="E142" s="192">
        <f>'Realisasi Maret'!G142</f>
        <v>5066534</v>
      </c>
      <c r="F142" s="192">
        <v>815713856</v>
      </c>
      <c r="G142" s="192">
        <f t="shared" si="63"/>
        <v>820780390</v>
      </c>
      <c r="H142" s="24" t="e">
        <f t="shared" si="62"/>
        <v>#DIV/0!</v>
      </c>
      <c r="I142" s="207"/>
      <c r="J142" s="175"/>
    </row>
    <row r="143" spans="1:10" s="176" customFormat="1" x14ac:dyDescent="0.25">
      <c r="A143" s="188"/>
      <c r="B143" s="190" t="s">
        <v>334</v>
      </c>
      <c r="C143" s="33" t="s">
        <v>107</v>
      </c>
      <c r="D143" s="192"/>
      <c r="E143" s="192">
        <f>'Realisasi Maret'!G143</f>
        <v>1714356</v>
      </c>
      <c r="F143" s="192">
        <v>296490</v>
      </c>
      <c r="G143" s="192">
        <f t="shared" si="63"/>
        <v>2010846</v>
      </c>
      <c r="H143" s="24" t="e">
        <f t="shared" si="62"/>
        <v>#DIV/0!</v>
      </c>
      <c r="I143" s="207"/>
      <c r="J143" s="175"/>
    </row>
    <row r="144" spans="1:10" s="176" customFormat="1" x14ac:dyDescent="0.25">
      <c r="A144" s="188"/>
      <c r="B144" s="190" t="s">
        <v>335</v>
      </c>
      <c r="C144" s="33" t="s">
        <v>108</v>
      </c>
      <c r="D144" s="192"/>
      <c r="E144" s="192">
        <f>'Realisasi Maret'!G144</f>
        <v>11511841</v>
      </c>
      <c r="F144" s="192">
        <v>128702</v>
      </c>
      <c r="G144" s="192">
        <f t="shared" si="63"/>
        <v>11640543</v>
      </c>
      <c r="H144" s="24" t="e">
        <f t="shared" si="62"/>
        <v>#DIV/0!</v>
      </c>
      <c r="I144" s="207"/>
      <c r="J144" s="175"/>
    </row>
    <row r="145" spans="1:10" s="176" customFormat="1" x14ac:dyDescent="0.25">
      <c r="A145" s="188"/>
      <c r="B145" s="190" t="s">
        <v>336</v>
      </c>
      <c r="C145" s="33" t="s">
        <v>109</v>
      </c>
      <c r="D145" s="192"/>
      <c r="E145" s="192">
        <f>'Realisasi Maret'!G145</f>
        <v>664660</v>
      </c>
      <c r="F145" s="192">
        <v>176250</v>
      </c>
      <c r="G145" s="192">
        <f t="shared" si="63"/>
        <v>840910</v>
      </c>
      <c r="H145" s="24" t="e">
        <f t="shared" si="62"/>
        <v>#DIV/0!</v>
      </c>
      <c r="I145" s="207"/>
      <c r="J145" s="175"/>
    </row>
    <row r="146" spans="1:10" s="176" customFormat="1" x14ac:dyDescent="0.25">
      <c r="A146" s="188"/>
      <c r="B146" s="190" t="s">
        <v>484</v>
      </c>
      <c r="C146" s="33" t="s">
        <v>482</v>
      </c>
      <c r="D146" s="192"/>
      <c r="E146" s="192">
        <f>'Realisasi Maret'!G146</f>
        <v>0</v>
      </c>
      <c r="F146" s="192">
        <v>0</v>
      </c>
      <c r="G146" s="192">
        <f t="shared" si="63"/>
        <v>0</v>
      </c>
      <c r="H146" s="24"/>
      <c r="I146" s="207"/>
      <c r="J146" s="175"/>
    </row>
    <row r="147" spans="1:10" s="176" customFormat="1" x14ac:dyDescent="0.25">
      <c r="A147" s="188"/>
      <c r="B147" s="190" t="s">
        <v>337</v>
      </c>
      <c r="C147" s="33" t="s">
        <v>110</v>
      </c>
      <c r="D147" s="192"/>
      <c r="E147" s="192">
        <f>'Realisasi Maret'!G147</f>
        <v>173247872</v>
      </c>
      <c r="F147" s="192">
        <v>127181153</v>
      </c>
      <c r="G147" s="192">
        <f t="shared" si="63"/>
        <v>300429025</v>
      </c>
      <c r="H147" s="24" t="e">
        <f>G147/D147</f>
        <v>#DIV/0!</v>
      </c>
      <c r="I147" s="207"/>
      <c r="J147" s="175"/>
    </row>
    <row r="148" spans="1:10" s="176" customFormat="1" x14ac:dyDescent="0.25">
      <c r="A148" s="188"/>
      <c r="B148" s="190" t="s">
        <v>485</v>
      </c>
      <c r="C148" s="33" t="s">
        <v>483</v>
      </c>
      <c r="D148" s="192">
        <v>0</v>
      </c>
      <c r="E148" s="192">
        <f>'Realisasi Maret'!G148</f>
        <v>0</v>
      </c>
      <c r="F148" s="192"/>
      <c r="G148" s="192">
        <f>F148-D148</f>
        <v>0</v>
      </c>
      <c r="H148" s="24" t="e">
        <f>G148/D148</f>
        <v>#DIV/0!</v>
      </c>
      <c r="I148" s="207"/>
      <c r="J148" s="175"/>
    </row>
    <row r="149" spans="1:10" s="176" customFormat="1" x14ac:dyDescent="0.25">
      <c r="A149" s="169"/>
      <c r="B149" s="170"/>
      <c r="C149" s="180"/>
      <c r="D149" s="191"/>
      <c r="E149" s="191"/>
      <c r="F149" s="191"/>
      <c r="G149" s="191"/>
      <c r="H149" s="24"/>
      <c r="I149" s="207"/>
      <c r="J149" s="175"/>
    </row>
    <row r="150" spans="1:10" s="176" customFormat="1" x14ac:dyDescent="0.25">
      <c r="A150" s="168" t="s">
        <v>73</v>
      </c>
      <c r="B150" s="189" t="s">
        <v>327</v>
      </c>
      <c r="C150" s="185" t="s">
        <v>111</v>
      </c>
      <c r="D150" s="191"/>
      <c r="E150" s="191"/>
      <c r="F150" s="191"/>
      <c r="G150" s="191"/>
      <c r="H150" s="236" t="e">
        <f t="shared" ref="H150" si="64">G150/D150</f>
        <v>#DIV/0!</v>
      </c>
      <c r="I150" s="207"/>
      <c r="J150" s="175"/>
    </row>
    <row r="151" spans="1:10" s="176" customFormat="1" x14ac:dyDescent="0.25">
      <c r="A151" s="169"/>
      <c r="B151" s="170"/>
      <c r="C151" s="185"/>
      <c r="D151" s="191"/>
      <c r="E151" s="191"/>
      <c r="F151" s="191"/>
      <c r="G151" s="191"/>
      <c r="H151" s="236"/>
      <c r="I151" s="207"/>
      <c r="J151" s="175"/>
    </row>
    <row r="152" spans="1:10" s="176" customFormat="1" x14ac:dyDescent="0.25">
      <c r="A152" s="168" t="s">
        <v>74</v>
      </c>
      <c r="B152" s="189" t="s">
        <v>338</v>
      </c>
      <c r="C152" s="34" t="s">
        <v>339</v>
      </c>
      <c r="D152" s="191">
        <f>D153+D156</f>
        <v>0</v>
      </c>
      <c r="E152" s="191">
        <f>E153+E156</f>
        <v>6637300</v>
      </c>
      <c r="F152" s="191">
        <f t="shared" ref="F152:G152" si="65">F153+F156</f>
        <v>13623378</v>
      </c>
      <c r="G152" s="191">
        <f t="shared" si="65"/>
        <v>20260678</v>
      </c>
      <c r="H152" s="277" t="e">
        <f>G152/D152</f>
        <v>#DIV/0!</v>
      </c>
      <c r="I152" s="207"/>
      <c r="J152" s="175"/>
    </row>
    <row r="153" spans="1:10" s="176" customFormat="1" x14ac:dyDescent="0.25">
      <c r="A153" s="169"/>
      <c r="B153" s="189" t="s">
        <v>596</v>
      </c>
      <c r="C153" s="180" t="s">
        <v>598</v>
      </c>
      <c r="D153" s="191">
        <f>D154</f>
        <v>0</v>
      </c>
      <c r="E153" s="191">
        <f>E154</f>
        <v>3000000</v>
      </c>
      <c r="F153" s="191">
        <f t="shared" ref="F153:G153" si="66">F154</f>
        <v>0</v>
      </c>
      <c r="G153" s="191">
        <f t="shared" si="66"/>
        <v>3000000</v>
      </c>
      <c r="H153" s="277" t="e">
        <f>G153/D153</f>
        <v>#DIV/0!</v>
      </c>
      <c r="I153" s="207"/>
      <c r="J153" s="175"/>
    </row>
    <row r="154" spans="1:10" s="176" customFormat="1" x14ac:dyDescent="0.25">
      <c r="A154" s="169"/>
      <c r="B154" s="190" t="s">
        <v>597</v>
      </c>
      <c r="C154" s="33" t="s">
        <v>598</v>
      </c>
      <c r="D154" s="192">
        <v>0</v>
      </c>
      <c r="E154" s="192">
        <f>'Realisasi Maret'!G154</f>
        <v>3000000</v>
      </c>
      <c r="F154" s="192"/>
      <c r="G154" s="192">
        <f>E154+F154</f>
        <v>3000000</v>
      </c>
      <c r="H154" s="278" t="e">
        <f>G154/D154</f>
        <v>#DIV/0!</v>
      </c>
      <c r="I154" s="207"/>
      <c r="J154" s="175"/>
    </row>
    <row r="155" spans="1:10" s="176" customFormat="1" x14ac:dyDescent="0.25">
      <c r="A155" s="169"/>
      <c r="B155" s="170"/>
      <c r="C155" s="180"/>
      <c r="D155" s="191"/>
      <c r="E155" s="191"/>
      <c r="F155" s="191"/>
      <c r="G155" s="191"/>
      <c r="H155" s="277"/>
      <c r="I155" s="207"/>
      <c r="J155" s="175"/>
    </row>
    <row r="156" spans="1:10" s="176" customFormat="1" x14ac:dyDescent="0.25">
      <c r="A156" s="169"/>
      <c r="B156" s="189" t="s">
        <v>599</v>
      </c>
      <c r="C156" s="180" t="s">
        <v>601</v>
      </c>
      <c r="D156" s="191">
        <f>D157</f>
        <v>0</v>
      </c>
      <c r="E156" s="191">
        <f>E157</f>
        <v>3637300</v>
      </c>
      <c r="F156" s="191">
        <f t="shared" ref="F156:G156" si="67">F157</f>
        <v>13623378</v>
      </c>
      <c r="G156" s="191">
        <f t="shared" si="67"/>
        <v>17260678</v>
      </c>
      <c r="H156" s="277" t="e">
        <f>G156/D156</f>
        <v>#DIV/0!</v>
      </c>
      <c r="I156" s="207"/>
      <c r="J156" s="175"/>
    </row>
    <row r="157" spans="1:10" s="176" customFormat="1" x14ac:dyDescent="0.25">
      <c r="A157" s="169"/>
      <c r="B157" s="190" t="s">
        <v>600</v>
      </c>
      <c r="C157" s="33" t="s">
        <v>601</v>
      </c>
      <c r="D157" s="192">
        <v>0</v>
      </c>
      <c r="E157" s="192">
        <f>'Realisasi Maret'!G157</f>
        <v>3637300</v>
      </c>
      <c r="F157" s="192">
        <v>13623378</v>
      </c>
      <c r="G157" s="192">
        <f>E157+F157</f>
        <v>17260678</v>
      </c>
      <c r="H157" s="278" t="e">
        <f>G157/D157</f>
        <v>#DIV/0!</v>
      </c>
      <c r="I157" s="207"/>
      <c r="J157" s="175"/>
    </row>
    <row r="158" spans="1:10" s="176" customFormat="1" x14ac:dyDescent="0.25">
      <c r="A158" s="169"/>
      <c r="B158" s="190"/>
      <c r="C158" s="33"/>
      <c r="D158" s="192"/>
      <c r="E158" s="192"/>
      <c r="F158" s="192"/>
      <c r="G158" s="192"/>
      <c r="H158" s="278"/>
      <c r="I158" s="207"/>
      <c r="J158" s="175"/>
    </row>
    <row r="159" spans="1:10" s="176" customFormat="1" x14ac:dyDescent="0.25">
      <c r="A159" s="168" t="s">
        <v>81</v>
      </c>
      <c r="B159" s="22" t="s">
        <v>306</v>
      </c>
      <c r="C159" s="185" t="s">
        <v>75</v>
      </c>
      <c r="D159" s="196">
        <f>D160</f>
        <v>122100000000</v>
      </c>
      <c r="E159" s="196">
        <f t="shared" ref="E159:G160" si="68">E160</f>
        <v>18372161975</v>
      </c>
      <c r="F159" s="196">
        <f t="shared" si="68"/>
        <v>62534696540</v>
      </c>
      <c r="G159" s="196">
        <f t="shared" si="68"/>
        <v>80906858515</v>
      </c>
      <c r="H159" s="236">
        <f t="shared" ref="H159:H191" si="69">G159/D159</f>
        <v>0.66262783386568391</v>
      </c>
      <c r="I159" s="207" t="s">
        <v>112</v>
      </c>
      <c r="J159" s="175"/>
    </row>
    <row r="160" spans="1:10" s="176" customFormat="1" x14ac:dyDescent="0.25">
      <c r="A160" s="168"/>
      <c r="B160" s="189" t="s">
        <v>340</v>
      </c>
      <c r="C160" s="185" t="s">
        <v>341</v>
      </c>
      <c r="D160" s="196">
        <f>D161</f>
        <v>122100000000</v>
      </c>
      <c r="E160" s="196">
        <f t="shared" si="68"/>
        <v>18372161975</v>
      </c>
      <c r="F160" s="196">
        <f t="shared" si="68"/>
        <v>62534696540</v>
      </c>
      <c r="G160" s="196">
        <f t="shared" si="68"/>
        <v>80906858515</v>
      </c>
      <c r="H160" s="236">
        <f t="shared" si="69"/>
        <v>0.66262783386568391</v>
      </c>
      <c r="I160" s="207"/>
      <c r="J160" s="175"/>
    </row>
    <row r="161" spans="1:10" s="176" customFormat="1" x14ac:dyDescent="0.25">
      <c r="A161" s="188"/>
      <c r="B161" s="178"/>
      <c r="C161" s="185" t="s">
        <v>113</v>
      </c>
      <c r="D161" s="191">
        <f>D162+D169+D175+D178+D182+D185+D188+D191+D195</f>
        <v>122100000000</v>
      </c>
      <c r="E161" s="191">
        <f t="shared" ref="E161:G161" si="70">E162+E169+E175+E178+E182+E185+E188+E191+E195</f>
        <v>18372161975</v>
      </c>
      <c r="F161" s="191">
        <f t="shared" si="70"/>
        <v>62534696540</v>
      </c>
      <c r="G161" s="191">
        <f t="shared" si="70"/>
        <v>80906858515</v>
      </c>
      <c r="H161" s="236">
        <f>G161/D161</f>
        <v>0.66262783386568391</v>
      </c>
      <c r="I161" s="207" t="s">
        <v>114</v>
      </c>
      <c r="J161" s="175"/>
    </row>
    <row r="162" spans="1:10" s="176" customFormat="1" x14ac:dyDescent="0.25">
      <c r="A162" s="188"/>
      <c r="B162" s="178"/>
      <c r="C162" s="35" t="s">
        <v>115</v>
      </c>
      <c r="D162" s="191">
        <f>SUM(D163:D168)</f>
        <v>10327224000</v>
      </c>
      <c r="E162" s="191">
        <f t="shared" ref="E162:G162" si="71">SUM(E163:E168)</f>
        <v>2373656735</v>
      </c>
      <c r="F162" s="191">
        <f t="shared" si="71"/>
        <v>608944784</v>
      </c>
      <c r="G162" s="191">
        <f t="shared" si="71"/>
        <v>2982601519</v>
      </c>
      <c r="H162" s="236">
        <f t="shared" si="69"/>
        <v>0.28880960837103947</v>
      </c>
      <c r="I162" s="207"/>
      <c r="J162" s="175"/>
    </row>
    <row r="163" spans="1:10" s="176" customFormat="1" x14ac:dyDescent="0.25">
      <c r="A163" s="188"/>
      <c r="B163" s="178"/>
      <c r="C163" s="171" t="s">
        <v>116</v>
      </c>
      <c r="D163" s="192">
        <v>794144000</v>
      </c>
      <c r="E163" s="192">
        <f>'Realisasi Maret'!G163</f>
        <v>189521898</v>
      </c>
      <c r="F163" s="192">
        <v>55546519</v>
      </c>
      <c r="G163" s="192">
        <f>E163+F163</f>
        <v>245068417</v>
      </c>
      <c r="H163" s="24">
        <f t="shared" si="69"/>
        <v>0.30859443249586976</v>
      </c>
      <c r="I163" s="207"/>
      <c r="J163" s="175"/>
    </row>
    <row r="164" spans="1:10" s="176" customFormat="1" x14ac:dyDescent="0.25">
      <c r="A164" s="188"/>
      <c r="B164" s="178"/>
      <c r="C164" s="171" t="s">
        <v>117</v>
      </c>
      <c r="D164" s="192">
        <v>1454000000</v>
      </c>
      <c r="E164" s="192">
        <f>'Realisasi Maret'!G164</f>
        <v>603660180</v>
      </c>
      <c r="F164" s="192">
        <v>67764450</v>
      </c>
      <c r="G164" s="192">
        <f t="shared" ref="G164:G168" si="72">E164+F164</f>
        <v>671424630</v>
      </c>
      <c r="H164" s="24">
        <f t="shared" si="69"/>
        <v>0.46177759972489685</v>
      </c>
      <c r="I164" s="207"/>
      <c r="J164" s="175"/>
    </row>
    <row r="165" spans="1:10" s="176" customFormat="1" x14ac:dyDescent="0.25">
      <c r="A165" s="188"/>
      <c r="B165" s="178"/>
      <c r="C165" s="171" t="s">
        <v>118</v>
      </c>
      <c r="D165" s="192">
        <v>4535600000</v>
      </c>
      <c r="E165" s="192">
        <f>'Realisasi Maret'!G165</f>
        <v>882160594</v>
      </c>
      <c r="F165" s="192">
        <v>255898637</v>
      </c>
      <c r="G165" s="192">
        <f t="shared" si="72"/>
        <v>1138059231</v>
      </c>
      <c r="H165" s="24">
        <f t="shared" si="69"/>
        <v>0.25091701891701207</v>
      </c>
      <c r="I165" s="207"/>
      <c r="J165" s="175"/>
    </row>
    <row r="166" spans="1:10" s="176" customFormat="1" x14ac:dyDescent="0.25">
      <c r="A166" s="188"/>
      <c r="B166" s="178"/>
      <c r="C166" s="171" t="s">
        <v>119</v>
      </c>
      <c r="D166" s="192">
        <v>2388980000</v>
      </c>
      <c r="E166" s="192">
        <f>'Realisasi Maret'!G166</f>
        <v>349188770</v>
      </c>
      <c r="F166" s="192">
        <v>100472895</v>
      </c>
      <c r="G166" s="192">
        <f t="shared" si="72"/>
        <v>449661665</v>
      </c>
      <c r="H166" s="24">
        <f t="shared" si="69"/>
        <v>0.18822328567003491</v>
      </c>
      <c r="I166" s="207"/>
      <c r="J166" s="175"/>
    </row>
    <row r="167" spans="1:10" s="176" customFormat="1" x14ac:dyDescent="0.25">
      <c r="A167" s="188"/>
      <c r="B167" s="178"/>
      <c r="C167" s="171" t="s">
        <v>120</v>
      </c>
      <c r="D167" s="192">
        <v>51200000</v>
      </c>
      <c r="E167" s="192">
        <f>'Realisasi Maret'!G167</f>
        <v>14482000</v>
      </c>
      <c r="F167" s="192">
        <v>2704000</v>
      </c>
      <c r="G167" s="192">
        <f t="shared" si="72"/>
        <v>17186000</v>
      </c>
      <c r="H167" s="24">
        <f t="shared" si="69"/>
        <v>0.33566406250000003</v>
      </c>
      <c r="I167" s="207"/>
      <c r="J167" s="175"/>
    </row>
    <row r="168" spans="1:10" s="176" customFormat="1" x14ac:dyDescent="0.25">
      <c r="A168" s="188"/>
      <c r="B168" s="178"/>
      <c r="C168" s="171" t="s">
        <v>121</v>
      </c>
      <c r="D168" s="192">
        <v>1103300000</v>
      </c>
      <c r="E168" s="192">
        <f>'Realisasi Maret'!G168</f>
        <v>334643293</v>
      </c>
      <c r="F168" s="192">
        <v>126558283</v>
      </c>
      <c r="G168" s="192">
        <f t="shared" si="72"/>
        <v>461201576</v>
      </c>
      <c r="H168" s="24">
        <f t="shared" si="69"/>
        <v>0.41802009970089732</v>
      </c>
      <c r="I168" s="207"/>
      <c r="J168" s="175"/>
    </row>
    <row r="169" spans="1:10" s="176" customFormat="1" x14ac:dyDescent="0.25">
      <c r="A169" s="188"/>
      <c r="B169" s="178"/>
      <c r="C169" s="185" t="s">
        <v>122</v>
      </c>
      <c r="D169" s="191">
        <f>SUM(D170:D174)</f>
        <v>71738434000</v>
      </c>
      <c r="E169" s="191">
        <f t="shared" ref="E169:G169" si="73">SUM(E170:E174)</f>
        <v>15024195626</v>
      </c>
      <c r="F169" s="191">
        <f t="shared" si="73"/>
        <v>3929185393</v>
      </c>
      <c r="G169" s="191">
        <f t="shared" si="73"/>
        <v>18953381019</v>
      </c>
      <c r="H169" s="236">
        <f t="shared" si="69"/>
        <v>0.26420120934058861</v>
      </c>
      <c r="I169" s="207"/>
      <c r="J169" s="175"/>
    </row>
    <row r="170" spans="1:10" s="176" customFormat="1" x14ac:dyDescent="0.25">
      <c r="A170" s="188"/>
      <c r="B170" s="178"/>
      <c r="C170" s="171" t="s">
        <v>117</v>
      </c>
      <c r="D170" s="192">
        <v>19459500000</v>
      </c>
      <c r="E170" s="192">
        <f>'Realisasi Maret'!G170</f>
        <v>5921230500</v>
      </c>
      <c r="F170" s="192">
        <v>76838200</v>
      </c>
      <c r="G170" s="192">
        <f>E170+F170</f>
        <v>5998068700</v>
      </c>
      <c r="H170" s="24">
        <f t="shared" si="69"/>
        <v>0.30823344381921425</v>
      </c>
      <c r="I170" s="207"/>
      <c r="J170" s="175"/>
    </row>
    <row r="171" spans="1:10" s="176" customFormat="1" x14ac:dyDescent="0.25">
      <c r="A171" s="188"/>
      <c r="B171" s="178"/>
      <c r="C171" s="171" t="s">
        <v>118</v>
      </c>
      <c r="D171" s="192">
        <v>49831374000</v>
      </c>
      <c r="E171" s="192">
        <f>'Realisasi Maret'!G171</f>
        <v>8096157533</v>
      </c>
      <c r="F171" s="192">
        <v>3577586500</v>
      </c>
      <c r="G171" s="192">
        <f t="shared" ref="G171:G174" si="74">E171+F171</f>
        <v>11673744033</v>
      </c>
      <c r="H171" s="24">
        <f t="shared" si="69"/>
        <v>0.23426494386849539</v>
      </c>
      <c r="I171" s="207"/>
      <c r="J171" s="175"/>
    </row>
    <row r="172" spans="1:10" s="176" customFormat="1" x14ac:dyDescent="0.25">
      <c r="A172" s="188"/>
      <c r="B172" s="178"/>
      <c r="C172" s="171" t="s">
        <v>123</v>
      </c>
      <c r="D172" s="192">
        <v>227620000</v>
      </c>
      <c r="E172" s="192">
        <f>'Realisasi Maret'!G172</f>
        <v>97750000</v>
      </c>
      <c r="F172" s="192">
        <v>30000000</v>
      </c>
      <c r="G172" s="192">
        <f t="shared" si="74"/>
        <v>127750000</v>
      </c>
      <c r="H172" s="24">
        <f t="shared" si="69"/>
        <v>0.56124242157982607</v>
      </c>
      <c r="I172" s="207"/>
      <c r="J172" s="175"/>
    </row>
    <row r="173" spans="1:10" s="176" customFormat="1" x14ac:dyDescent="0.25">
      <c r="A173" s="188"/>
      <c r="B173" s="178"/>
      <c r="C173" s="171" t="s">
        <v>124</v>
      </c>
      <c r="D173" s="192">
        <v>2087340000</v>
      </c>
      <c r="E173" s="192">
        <f>'Realisasi Maret'!G173</f>
        <v>869488193</v>
      </c>
      <c r="F173" s="192">
        <v>244760693</v>
      </c>
      <c r="G173" s="192">
        <f t="shared" si="74"/>
        <v>1114248886</v>
      </c>
      <c r="H173" s="24">
        <f t="shared" si="69"/>
        <v>0.53381283643297206</v>
      </c>
      <c r="I173" s="207"/>
      <c r="J173" s="175"/>
    </row>
    <row r="174" spans="1:10" s="176" customFormat="1" x14ac:dyDescent="0.25">
      <c r="A174" s="188"/>
      <c r="B174" s="178"/>
      <c r="C174" s="171" t="s">
        <v>120</v>
      </c>
      <c r="D174" s="192">
        <v>132600000</v>
      </c>
      <c r="E174" s="192">
        <f>'Realisasi Maret'!G174</f>
        <v>39569400</v>
      </c>
      <c r="F174" s="192">
        <v>0</v>
      </c>
      <c r="G174" s="192">
        <f t="shared" si="74"/>
        <v>39569400</v>
      </c>
      <c r="H174" s="24">
        <f t="shared" si="69"/>
        <v>0.29841176470588238</v>
      </c>
      <c r="I174" s="207"/>
      <c r="J174" s="175"/>
    </row>
    <row r="175" spans="1:10" s="176" customFormat="1" x14ac:dyDescent="0.25">
      <c r="A175" s="188"/>
      <c r="B175" s="178"/>
      <c r="C175" s="185" t="s">
        <v>125</v>
      </c>
      <c r="D175" s="191">
        <f>SUM(D176:D177)</f>
        <v>31531500000</v>
      </c>
      <c r="E175" s="191">
        <f t="shared" ref="E175:G175" si="75">SUM(E176:E177)</f>
        <v>0</v>
      </c>
      <c r="F175" s="191">
        <f t="shared" si="75"/>
        <v>57496344750</v>
      </c>
      <c r="G175" s="191">
        <f t="shared" si="75"/>
        <v>57496344750</v>
      </c>
      <c r="H175" s="236">
        <f t="shared" si="69"/>
        <v>1.8234573283858999</v>
      </c>
      <c r="I175" s="207"/>
      <c r="J175" s="175"/>
    </row>
    <row r="176" spans="1:10" s="176" customFormat="1" x14ac:dyDescent="0.25">
      <c r="A176" s="188"/>
      <c r="B176" s="178"/>
      <c r="C176" s="171" t="s">
        <v>117</v>
      </c>
      <c r="D176" s="192">
        <v>31500000</v>
      </c>
      <c r="E176" s="192">
        <f>'Realisasi Maret'!E176</f>
        <v>0</v>
      </c>
      <c r="F176" s="192">
        <v>89200600</v>
      </c>
      <c r="G176" s="192">
        <f>E176+F176</f>
        <v>89200600</v>
      </c>
      <c r="H176" s="24">
        <f t="shared" si="69"/>
        <v>2.8317650793650793</v>
      </c>
      <c r="I176" s="207"/>
      <c r="J176" s="175"/>
    </row>
    <row r="177" spans="1:10" s="176" customFormat="1" x14ac:dyDescent="0.25">
      <c r="A177" s="188"/>
      <c r="B177" s="178"/>
      <c r="C177" s="171" t="s">
        <v>118</v>
      </c>
      <c r="D177" s="192">
        <v>31500000000</v>
      </c>
      <c r="E177" s="192">
        <f>'Realisasi Maret'!E177</f>
        <v>0</v>
      </c>
      <c r="F177" s="192">
        <v>57407144150</v>
      </c>
      <c r="G177" s="192">
        <f>E177+F177</f>
        <v>57407144150</v>
      </c>
      <c r="H177" s="24">
        <f t="shared" si="69"/>
        <v>1.8224490206349206</v>
      </c>
      <c r="I177" s="207"/>
      <c r="J177" s="175"/>
    </row>
    <row r="178" spans="1:10" s="176" customFormat="1" x14ac:dyDescent="0.25">
      <c r="A178" s="188"/>
      <c r="B178" s="178"/>
      <c r="C178" s="185" t="s">
        <v>126</v>
      </c>
      <c r="D178" s="191">
        <f>SUM(D179:D181)</f>
        <v>3381016000</v>
      </c>
      <c r="E178" s="191">
        <f t="shared" ref="E178:G178" si="76">SUM(E179:E181)</f>
        <v>774272649</v>
      </c>
      <c r="F178" s="191">
        <f t="shared" si="76"/>
        <v>480631411</v>
      </c>
      <c r="G178" s="191">
        <f t="shared" si="76"/>
        <v>1254904060</v>
      </c>
      <c r="H178" s="236">
        <f t="shared" si="69"/>
        <v>0.37116182236345524</v>
      </c>
      <c r="I178" s="207"/>
      <c r="J178" s="175"/>
    </row>
    <row r="179" spans="1:10" s="176" customFormat="1" x14ac:dyDescent="0.25">
      <c r="A179" s="188"/>
      <c r="B179" s="178"/>
      <c r="C179" s="171" t="s">
        <v>117</v>
      </c>
      <c r="D179" s="192">
        <v>644736000</v>
      </c>
      <c r="E179" s="192">
        <f>'Realisasi Maret'!G179</f>
        <v>133164019</v>
      </c>
      <c r="F179" s="192">
        <v>73419709</v>
      </c>
      <c r="G179" s="192">
        <f>E179+F179</f>
        <v>206583728</v>
      </c>
      <c r="H179" s="24">
        <f t="shared" si="69"/>
        <v>0.32041599662497516</v>
      </c>
      <c r="I179" s="207" t="s">
        <v>127</v>
      </c>
      <c r="J179" s="175"/>
    </row>
    <row r="180" spans="1:10" s="176" customFormat="1" x14ac:dyDescent="0.25">
      <c r="A180" s="188"/>
      <c r="B180" s="178"/>
      <c r="C180" s="171" t="s">
        <v>118</v>
      </c>
      <c r="D180" s="192">
        <v>2080780000</v>
      </c>
      <c r="E180" s="192">
        <f>'Realisasi Maret'!G180</f>
        <v>529113471</v>
      </c>
      <c r="F180" s="192">
        <v>318503773</v>
      </c>
      <c r="G180" s="192">
        <f t="shared" ref="G180:G181" si="77">E180+F180</f>
        <v>847617244</v>
      </c>
      <c r="H180" s="24">
        <f t="shared" si="69"/>
        <v>0.40735553206009284</v>
      </c>
      <c r="I180" s="207"/>
      <c r="J180" s="175"/>
    </row>
    <row r="181" spans="1:10" s="176" customFormat="1" x14ac:dyDescent="0.25">
      <c r="A181" s="188"/>
      <c r="B181" s="178"/>
      <c r="C181" s="171" t="s">
        <v>128</v>
      </c>
      <c r="D181" s="192">
        <v>655500000</v>
      </c>
      <c r="E181" s="192">
        <f>'Realisasi Maret'!G181</f>
        <v>111995159</v>
      </c>
      <c r="F181" s="192">
        <v>88707929</v>
      </c>
      <c r="G181" s="192">
        <f t="shared" si="77"/>
        <v>200703088</v>
      </c>
      <c r="H181" s="24">
        <f t="shared" si="69"/>
        <v>0.3061832006102212</v>
      </c>
      <c r="I181" s="207"/>
      <c r="J181" s="175"/>
    </row>
    <row r="182" spans="1:10" s="176" customFormat="1" x14ac:dyDescent="0.25">
      <c r="A182" s="169"/>
      <c r="B182" s="178"/>
      <c r="C182" s="185" t="s">
        <v>129</v>
      </c>
      <c r="D182" s="191">
        <f>SUM(D183:D184)</f>
        <v>3861588000</v>
      </c>
      <c r="E182" s="191">
        <f t="shared" ref="E182:G182" si="78">SUM(E183:E184)</f>
        <v>0</v>
      </c>
      <c r="F182" s="191">
        <f t="shared" si="78"/>
        <v>0</v>
      </c>
      <c r="G182" s="191">
        <f t="shared" si="78"/>
        <v>0</v>
      </c>
      <c r="H182" s="236">
        <f t="shared" si="69"/>
        <v>0</v>
      </c>
      <c r="I182" s="207"/>
      <c r="J182" s="175"/>
    </row>
    <row r="183" spans="1:10" s="176" customFormat="1" x14ac:dyDescent="0.25">
      <c r="A183" s="188"/>
      <c r="B183" s="178"/>
      <c r="C183" s="171" t="s">
        <v>117</v>
      </c>
      <c r="D183" s="192">
        <v>60588000</v>
      </c>
      <c r="E183" s="192">
        <f>'Realisasi Maret'!G183</f>
        <v>0</v>
      </c>
      <c r="F183" s="192"/>
      <c r="G183" s="192">
        <f>E183+F183</f>
        <v>0</v>
      </c>
      <c r="H183" s="24">
        <f t="shared" si="69"/>
        <v>0</v>
      </c>
      <c r="I183" s="207"/>
      <c r="J183" s="175"/>
    </row>
    <row r="184" spans="1:10" s="176" customFormat="1" x14ac:dyDescent="0.25">
      <c r="A184" s="188"/>
      <c r="B184" s="178"/>
      <c r="C184" s="171" t="s">
        <v>118</v>
      </c>
      <c r="D184" s="192">
        <v>3801000000</v>
      </c>
      <c r="E184" s="192">
        <f>'Realisasi Maret'!G184</f>
        <v>0</v>
      </c>
      <c r="F184" s="192"/>
      <c r="G184" s="192">
        <f>E184+F184</f>
        <v>0</v>
      </c>
      <c r="H184" s="24">
        <f t="shared" si="69"/>
        <v>0</v>
      </c>
      <c r="I184" s="207"/>
      <c r="J184" s="175"/>
    </row>
    <row r="185" spans="1:10" s="176" customFormat="1" x14ac:dyDescent="0.25">
      <c r="A185" s="188"/>
      <c r="B185" s="178"/>
      <c r="C185" s="185" t="s">
        <v>130</v>
      </c>
      <c r="D185" s="191">
        <f>SUM(D186:D187)</f>
        <v>249113200</v>
      </c>
      <c r="E185" s="191">
        <f t="shared" ref="E185:G185" si="79">SUM(E186:E187)</f>
        <v>0</v>
      </c>
      <c r="F185" s="191">
        <f t="shared" si="79"/>
        <v>0</v>
      </c>
      <c r="G185" s="191">
        <f t="shared" si="79"/>
        <v>0</v>
      </c>
      <c r="H185" s="236">
        <f t="shared" si="69"/>
        <v>0</v>
      </c>
      <c r="I185" s="207"/>
      <c r="J185" s="175"/>
    </row>
    <row r="186" spans="1:10" s="176" customFormat="1" x14ac:dyDescent="0.25">
      <c r="A186" s="188"/>
      <c r="B186" s="178"/>
      <c r="C186" s="171" t="s">
        <v>117</v>
      </c>
      <c r="D186" s="192">
        <v>554500</v>
      </c>
      <c r="E186" s="192">
        <f>'Realisasi Maret'!G186</f>
        <v>0</v>
      </c>
      <c r="F186" s="192"/>
      <c r="G186" s="192">
        <f>E186+F186</f>
        <v>0</v>
      </c>
      <c r="H186" s="24">
        <f t="shared" si="69"/>
        <v>0</v>
      </c>
      <c r="I186" s="207"/>
      <c r="J186" s="175"/>
    </row>
    <row r="187" spans="1:10" s="176" customFormat="1" x14ac:dyDescent="0.25">
      <c r="A187" s="188"/>
      <c r="B187" s="178"/>
      <c r="C187" s="171" t="s">
        <v>118</v>
      </c>
      <c r="D187" s="192">
        <v>248558700</v>
      </c>
      <c r="E187" s="192">
        <f>'Realisasi Maret'!G187</f>
        <v>0</v>
      </c>
      <c r="F187" s="192"/>
      <c r="G187" s="192">
        <f>E187+F187</f>
        <v>0</v>
      </c>
      <c r="H187" s="24">
        <f t="shared" si="69"/>
        <v>0</v>
      </c>
      <c r="I187" s="207"/>
      <c r="J187" s="175"/>
    </row>
    <row r="188" spans="1:10" s="176" customFormat="1" x14ac:dyDescent="0.25">
      <c r="A188" s="188"/>
      <c r="B188" s="178"/>
      <c r="C188" s="185" t="s">
        <v>131</v>
      </c>
      <c r="D188" s="191">
        <f>SUM(D189:D190)</f>
        <v>90525000</v>
      </c>
      <c r="E188" s="191">
        <f t="shared" ref="E188:G188" si="80">SUM(E189:E190)</f>
        <v>0</v>
      </c>
      <c r="F188" s="191">
        <f t="shared" si="80"/>
        <v>0</v>
      </c>
      <c r="G188" s="191">
        <f t="shared" si="80"/>
        <v>0</v>
      </c>
      <c r="H188" s="236">
        <f t="shared" si="69"/>
        <v>0</v>
      </c>
      <c r="I188" s="207"/>
      <c r="J188" s="175"/>
    </row>
    <row r="189" spans="1:10" s="176" customFormat="1" x14ac:dyDescent="0.25">
      <c r="A189" s="188"/>
      <c r="B189" s="178"/>
      <c r="C189" s="171" t="s">
        <v>117</v>
      </c>
      <c r="D189" s="192">
        <v>525000</v>
      </c>
      <c r="E189" s="192">
        <f>'Realisasi Maret'!G189</f>
        <v>0</v>
      </c>
      <c r="F189" s="192"/>
      <c r="G189" s="192">
        <f>E189+F189</f>
        <v>0</v>
      </c>
      <c r="H189" s="24">
        <f t="shared" si="69"/>
        <v>0</v>
      </c>
      <c r="I189" s="207"/>
      <c r="J189" s="175"/>
    </row>
    <row r="190" spans="1:10" s="176" customFormat="1" x14ac:dyDescent="0.25">
      <c r="A190" s="188"/>
      <c r="B190" s="178"/>
      <c r="C190" s="171" t="s">
        <v>118</v>
      </c>
      <c r="D190" s="192">
        <v>90000000</v>
      </c>
      <c r="E190" s="192">
        <f>'Realisasi Maret'!G190</f>
        <v>0</v>
      </c>
      <c r="F190" s="192"/>
      <c r="G190" s="192">
        <f>E190+F190</f>
        <v>0</v>
      </c>
      <c r="H190" s="24">
        <f t="shared" si="69"/>
        <v>0</v>
      </c>
      <c r="I190" s="207"/>
      <c r="J190" s="175"/>
    </row>
    <row r="191" spans="1:10" s="176" customFormat="1" x14ac:dyDescent="0.25">
      <c r="A191" s="188"/>
      <c r="B191" s="178"/>
      <c r="C191" s="185" t="s">
        <v>132</v>
      </c>
      <c r="D191" s="191">
        <f>SUM(D192:D194)</f>
        <v>732799800</v>
      </c>
      <c r="E191" s="191">
        <f t="shared" ref="E191:G191" si="81">SUM(E192:E194)</f>
        <v>171765000</v>
      </c>
      <c r="F191" s="191">
        <f t="shared" si="81"/>
        <v>8100000</v>
      </c>
      <c r="G191" s="191">
        <f t="shared" si="81"/>
        <v>179865000</v>
      </c>
      <c r="H191" s="236">
        <f t="shared" si="69"/>
        <v>0.24544902987146011</v>
      </c>
      <c r="I191" s="207"/>
      <c r="J191" s="175"/>
    </row>
    <row r="192" spans="1:10" s="176" customFormat="1" x14ac:dyDescent="0.25">
      <c r="A192" s="188"/>
      <c r="B192" s="178"/>
      <c r="C192" s="171" t="s">
        <v>133</v>
      </c>
      <c r="D192" s="192">
        <v>0</v>
      </c>
      <c r="E192" s="192">
        <f>'Realisasi Maret'!G192</f>
        <v>0</v>
      </c>
      <c r="F192" s="192"/>
      <c r="G192" s="192">
        <f>E192+F192</f>
        <v>0</v>
      </c>
      <c r="H192" s="24"/>
      <c r="I192" s="207"/>
      <c r="J192" s="175"/>
    </row>
    <row r="193" spans="1:12" s="176" customFormat="1" x14ac:dyDescent="0.25">
      <c r="A193" s="188"/>
      <c r="B193" s="178"/>
      <c r="C193" s="171" t="s">
        <v>134</v>
      </c>
      <c r="D193" s="192">
        <v>28000000</v>
      </c>
      <c r="E193" s="192">
        <f>'Realisasi Maret'!G193</f>
        <v>27300000</v>
      </c>
      <c r="F193" s="192">
        <v>7500000</v>
      </c>
      <c r="G193" s="192">
        <f t="shared" ref="G193:G194" si="82">E193+F193</f>
        <v>34800000</v>
      </c>
      <c r="H193" s="24">
        <f>G193/D193</f>
        <v>1.2428571428571429</v>
      </c>
      <c r="I193" s="207" t="s">
        <v>135</v>
      </c>
      <c r="J193" s="175"/>
    </row>
    <row r="194" spans="1:12" s="176" customFormat="1" x14ac:dyDescent="0.25">
      <c r="A194" s="188"/>
      <c r="B194" s="178"/>
      <c r="C194" s="171" t="s">
        <v>136</v>
      </c>
      <c r="D194" s="192">
        <v>704799800</v>
      </c>
      <c r="E194" s="192">
        <f>'Realisasi Maret'!G194</f>
        <v>144465000</v>
      </c>
      <c r="F194" s="192">
        <v>600000</v>
      </c>
      <c r="G194" s="192">
        <f t="shared" si="82"/>
        <v>145065000</v>
      </c>
      <c r="H194" s="24">
        <f>G194/D194</f>
        <v>0.20582440573904817</v>
      </c>
      <c r="I194" s="207"/>
      <c r="J194" s="175"/>
    </row>
    <row r="195" spans="1:12" s="176" customFormat="1" x14ac:dyDescent="0.25">
      <c r="A195" s="188"/>
      <c r="B195" s="178"/>
      <c r="C195" s="185" t="s">
        <v>137</v>
      </c>
      <c r="D195" s="191">
        <f>SUM(D196:D197)</f>
        <v>187800000</v>
      </c>
      <c r="E195" s="191">
        <f t="shared" ref="E195:G195" si="83">SUM(E196:E197)</f>
        <v>28271965</v>
      </c>
      <c r="F195" s="191">
        <f t="shared" si="83"/>
        <v>11490202</v>
      </c>
      <c r="G195" s="191">
        <f t="shared" si="83"/>
        <v>39762167</v>
      </c>
      <c r="H195" s="236">
        <f>G195/D195</f>
        <v>0.21172612886048989</v>
      </c>
      <c r="I195" s="207"/>
      <c r="J195" s="175"/>
    </row>
    <row r="196" spans="1:12" s="176" customFormat="1" x14ac:dyDescent="0.25">
      <c r="A196" s="188"/>
      <c r="B196" s="178"/>
      <c r="C196" s="171" t="s">
        <v>138</v>
      </c>
      <c r="D196" s="192">
        <v>133800000</v>
      </c>
      <c r="E196" s="192">
        <f>'Realisasi Maret'!G196</f>
        <v>28271965</v>
      </c>
      <c r="F196" s="192">
        <v>11490202</v>
      </c>
      <c r="G196" s="192">
        <f>E196+F196</f>
        <v>39762167</v>
      </c>
      <c r="H196" s="24">
        <f>G196/D196</f>
        <v>0.29717613602391629</v>
      </c>
      <c r="I196" s="207" t="s">
        <v>139</v>
      </c>
      <c r="J196" s="175"/>
    </row>
    <row r="197" spans="1:12" s="176" customFormat="1" x14ac:dyDescent="0.25">
      <c r="A197" s="188"/>
      <c r="B197" s="178"/>
      <c r="C197" s="171" t="s">
        <v>140</v>
      </c>
      <c r="D197" s="192">
        <v>54000000</v>
      </c>
      <c r="E197" s="192">
        <f>'Realisasi Maret'!G197</f>
        <v>0</v>
      </c>
      <c r="F197" s="192"/>
      <c r="G197" s="192">
        <f>E197+F197</f>
        <v>0</v>
      </c>
      <c r="H197" s="24">
        <f>G197/D197</f>
        <v>0</v>
      </c>
      <c r="I197" s="207"/>
      <c r="J197" s="175"/>
    </row>
    <row r="198" spans="1:12" s="176" customFormat="1" x14ac:dyDescent="0.25">
      <c r="A198" s="188"/>
      <c r="B198" s="178"/>
      <c r="C198" s="171"/>
      <c r="D198" s="192"/>
      <c r="E198" s="192"/>
      <c r="F198" s="192"/>
      <c r="G198" s="191"/>
      <c r="H198" s="236"/>
      <c r="I198" s="207"/>
      <c r="J198" s="175"/>
    </row>
    <row r="199" spans="1:12" s="176" customFormat="1" x14ac:dyDescent="0.25">
      <c r="A199" s="168" t="s">
        <v>452</v>
      </c>
      <c r="B199" s="22" t="s">
        <v>306</v>
      </c>
      <c r="C199" s="185" t="s">
        <v>75</v>
      </c>
      <c r="D199" s="191">
        <f>SUM(D200)</f>
        <v>14496560466</v>
      </c>
      <c r="E199" s="191">
        <f t="shared" ref="E199:G199" si="84">SUM(E200)</f>
        <v>3281019323.9099998</v>
      </c>
      <c r="F199" s="191">
        <f t="shared" si="84"/>
        <v>1123347797.75</v>
      </c>
      <c r="G199" s="191">
        <f t="shared" si="84"/>
        <v>4404367121.6599989</v>
      </c>
      <c r="H199" s="236">
        <f t="shared" ref="H199:H211" si="85">G199/D199</f>
        <v>0.3038215259398897</v>
      </c>
      <c r="I199" s="207" t="s">
        <v>141</v>
      </c>
      <c r="J199" s="175"/>
    </row>
    <row r="200" spans="1:12" s="176" customFormat="1" x14ac:dyDescent="0.25">
      <c r="A200" s="188"/>
      <c r="B200" s="189" t="s">
        <v>340</v>
      </c>
      <c r="C200" s="185" t="s">
        <v>341</v>
      </c>
      <c r="D200" s="191">
        <f>D201</f>
        <v>14496560466</v>
      </c>
      <c r="E200" s="191">
        <f>E201</f>
        <v>3281019323.9099998</v>
      </c>
      <c r="F200" s="191">
        <f t="shared" ref="F200:G200" si="86">F201</f>
        <v>1123347797.75</v>
      </c>
      <c r="G200" s="191">
        <f t="shared" si="86"/>
        <v>4404367121.6599989</v>
      </c>
      <c r="H200" s="236">
        <f t="shared" si="85"/>
        <v>0.3038215259398897</v>
      </c>
      <c r="I200" s="207" t="s">
        <v>143</v>
      </c>
      <c r="J200" s="294"/>
      <c r="K200" s="295"/>
      <c r="L200" s="295"/>
    </row>
    <row r="201" spans="1:12" s="176" customFormat="1" x14ac:dyDescent="0.25">
      <c r="A201" s="188"/>
      <c r="B201" s="178"/>
      <c r="C201" s="172" t="s">
        <v>142</v>
      </c>
      <c r="D201" s="191">
        <f>SUM(D202:D211)</f>
        <v>14496560466</v>
      </c>
      <c r="E201" s="191">
        <f>SUM(E202:E211)</f>
        <v>3281019323.9099998</v>
      </c>
      <c r="F201" s="191">
        <f t="shared" ref="F201:G201" si="87">SUM(F202:F211)</f>
        <v>1123347797.75</v>
      </c>
      <c r="G201" s="191">
        <f t="shared" si="87"/>
        <v>4404367121.6599989</v>
      </c>
      <c r="H201" s="236">
        <f t="shared" si="85"/>
        <v>0.3038215259398897</v>
      </c>
      <c r="I201" s="207"/>
      <c r="J201" s="294"/>
      <c r="K201" s="295"/>
      <c r="L201" s="295"/>
    </row>
    <row r="202" spans="1:12" s="176" customFormat="1" x14ac:dyDescent="0.25">
      <c r="A202" s="188"/>
      <c r="B202" s="178"/>
      <c r="C202" s="171" t="s">
        <v>144</v>
      </c>
      <c r="D202" s="192">
        <v>1873243500</v>
      </c>
      <c r="E202" s="192">
        <f>'Realisasi Maret'!G202</f>
        <v>373837316.73000002</v>
      </c>
      <c r="F202" s="192">
        <v>125576042.06999999</v>
      </c>
      <c r="G202" s="192">
        <f>E202+F202</f>
        <v>499413358.80000001</v>
      </c>
      <c r="H202" s="24">
        <f t="shared" si="85"/>
        <v>0.26660354556148202</v>
      </c>
      <c r="I202" s="207" t="s">
        <v>145</v>
      </c>
      <c r="J202" s="294"/>
      <c r="K202" s="296"/>
      <c r="L202" s="295"/>
    </row>
    <row r="203" spans="1:12" s="176" customFormat="1" x14ac:dyDescent="0.25">
      <c r="A203" s="188"/>
      <c r="B203" s="178"/>
      <c r="C203" s="171" t="s">
        <v>146</v>
      </c>
      <c r="D203" s="192">
        <v>1100000000</v>
      </c>
      <c r="E203" s="192">
        <f>'Realisasi Maret'!G203</f>
        <v>223232335.88999999</v>
      </c>
      <c r="F203" s="192">
        <v>90329413.359999999</v>
      </c>
      <c r="G203" s="192">
        <f t="shared" ref="G203:G211" si="88">E203+F203</f>
        <v>313561749.25</v>
      </c>
      <c r="H203" s="24">
        <f t="shared" si="85"/>
        <v>0.2850561356818182</v>
      </c>
      <c r="I203" s="207"/>
      <c r="J203" s="294"/>
      <c r="K203" s="296"/>
      <c r="L203" s="295"/>
    </row>
    <row r="204" spans="1:12" s="176" customFormat="1" x14ac:dyDescent="0.25">
      <c r="A204" s="188"/>
      <c r="B204" s="178"/>
      <c r="C204" s="171" t="s">
        <v>147</v>
      </c>
      <c r="D204" s="192">
        <v>1400000000</v>
      </c>
      <c r="E204" s="192">
        <f>'Realisasi Maret'!G204</f>
        <v>286071418.93000001</v>
      </c>
      <c r="F204" s="192">
        <v>110813034.7</v>
      </c>
      <c r="G204" s="192">
        <f t="shared" si="88"/>
        <v>396884453.63</v>
      </c>
      <c r="H204" s="24">
        <f t="shared" si="85"/>
        <v>0.28348889545</v>
      </c>
      <c r="I204" s="207" t="s">
        <v>148</v>
      </c>
      <c r="J204" s="294"/>
      <c r="K204" s="296"/>
      <c r="L204" s="295"/>
    </row>
    <row r="205" spans="1:12" s="176" customFormat="1" x14ac:dyDescent="0.25">
      <c r="A205" s="188"/>
      <c r="B205" s="178"/>
      <c r="C205" s="171" t="s">
        <v>149</v>
      </c>
      <c r="D205" s="192">
        <v>2361598960</v>
      </c>
      <c r="E205" s="192">
        <f>'Realisasi Maret'!G205</f>
        <v>552895096.46000004</v>
      </c>
      <c r="F205" s="192">
        <v>182529329.37</v>
      </c>
      <c r="G205" s="192">
        <f t="shared" si="88"/>
        <v>735424425.83000004</v>
      </c>
      <c r="H205" s="24">
        <f t="shared" si="85"/>
        <v>0.31140953154467854</v>
      </c>
      <c r="I205" s="207" t="s">
        <v>150</v>
      </c>
      <c r="J205" s="294"/>
      <c r="K205" s="296"/>
      <c r="L205" s="295"/>
    </row>
    <row r="206" spans="1:12" s="176" customFormat="1" x14ac:dyDescent="0.25">
      <c r="A206" s="188"/>
      <c r="B206" s="178"/>
      <c r="C206" s="171" t="s">
        <v>151</v>
      </c>
      <c r="D206" s="192">
        <v>922500000</v>
      </c>
      <c r="E206" s="192">
        <f>'Realisasi Maret'!G206</f>
        <v>214349756.63</v>
      </c>
      <c r="F206" s="181">
        <v>73866960.129999995</v>
      </c>
      <c r="G206" s="192">
        <f t="shared" si="88"/>
        <v>288216716.75999999</v>
      </c>
      <c r="H206" s="24">
        <f t="shared" si="85"/>
        <v>0.31243004526829266</v>
      </c>
      <c r="I206" s="207" t="s">
        <v>152</v>
      </c>
      <c r="J206" s="294"/>
      <c r="K206" s="296"/>
      <c r="L206" s="295"/>
    </row>
    <row r="207" spans="1:12" s="176" customFormat="1" x14ac:dyDescent="0.25">
      <c r="A207" s="188"/>
      <c r="B207" s="178"/>
      <c r="C207" s="171" t="s">
        <v>153</v>
      </c>
      <c r="D207" s="192">
        <v>1105404000</v>
      </c>
      <c r="E207" s="192">
        <f>'Realisasi Maret'!G207</f>
        <v>276454314.56999999</v>
      </c>
      <c r="F207" s="192">
        <v>91834762.670000002</v>
      </c>
      <c r="G207" s="192">
        <f t="shared" si="88"/>
        <v>368289077.24000001</v>
      </c>
      <c r="H207" s="24">
        <f t="shared" si="85"/>
        <v>0.33317147146201753</v>
      </c>
      <c r="I207" s="207"/>
      <c r="J207" s="294"/>
      <c r="K207" s="296"/>
      <c r="L207" s="295"/>
    </row>
    <row r="208" spans="1:12" s="176" customFormat="1" x14ac:dyDescent="0.25">
      <c r="A208" s="188"/>
      <c r="B208" s="178"/>
      <c r="C208" s="171" t="s">
        <v>154</v>
      </c>
      <c r="D208" s="192">
        <v>551536356</v>
      </c>
      <c r="E208" s="192">
        <f>'Realisasi Maret'!G208</f>
        <v>148428638.10000002</v>
      </c>
      <c r="F208" s="181">
        <v>49398372.219999999</v>
      </c>
      <c r="G208" s="192">
        <f t="shared" si="88"/>
        <v>197827010.32000002</v>
      </c>
      <c r="H208" s="24">
        <f t="shared" si="85"/>
        <v>0.35868353585017343</v>
      </c>
      <c r="I208" s="207" t="s">
        <v>155</v>
      </c>
      <c r="J208" s="294"/>
      <c r="K208" s="296"/>
      <c r="L208" s="295"/>
    </row>
    <row r="209" spans="1:12" s="176" customFormat="1" x14ac:dyDescent="0.25">
      <c r="A209" s="188"/>
      <c r="B209" s="178"/>
      <c r="C209" s="171" t="s">
        <v>156</v>
      </c>
      <c r="D209" s="192">
        <v>2380000000</v>
      </c>
      <c r="E209" s="192">
        <f>'Realisasi Maret'!G209</f>
        <v>578634202.63999999</v>
      </c>
      <c r="F209" s="181">
        <v>196918794.16999999</v>
      </c>
      <c r="G209" s="192">
        <f t="shared" si="88"/>
        <v>775552996.80999994</v>
      </c>
      <c r="H209" s="24">
        <f t="shared" si="85"/>
        <v>0.32586260370168063</v>
      </c>
      <c r="I209" s="207" t="s">
        <v>157</v>
      </c>
      <c r="J209" s="294"/>
      <c r="K209" s="296"/>
      <c r="L209" s="295"/>
    </row>
    <row r="210" spans="1:12" s="176" customFormat="1" x14ac:dyDescent="0.25">
      <c r="A210" s="188"/>
      <c r="B210" s="178"/>
      <c r="C210" s="171" t="s">
        <v>158</v>
      </c>
      <c r="D210" s="192">
        <v>1048195000</v>
      </c>
      <c r="E210" s="192">
        <f>'Realisasi Maret'!G210</f>
        <v>264573606.96000001</v>
      </c>
      <c r="F210" s="192">
        <v>81192348.780000001</v>
      </c>
      <c r="G210" s="192">
        <f t="shared" si="88"/>
        <v>345765955.74000001</v>
      </c>
      <c r="H210" s="24">
        <f t="shared" si="85"/>
        <v>0.3298679689752384</v>
      </c>
      <c r="I210" s="207" t="s">
        <v>159</v>
      </c>
      <c r="J210" s="294"/>
      <c r="K210" s="296"/>
      <c r="L210" s="295"/>
    </row>
    <row r="211" spans="1:12" s="176" customFormat="1" x14ac:dyDescent="0.25">
      <c r="A211" s="188"/>
      <c r="B211" s="178"/>
      <c r="C211" s="171" t="s">
        <v>160</v>
      </c>
      <c r="D211" s="192">
        <v>1754082650</v>
      </c>
      <c r="E211" s="192">
        <f>'Realisasi Maret'!G211</f>
        <v>362542637</v>
      </c>
      <c r="F211" s="192">
        <v>120888740.28</v>
      </c>
      <c r="G211" s="192">
        <f t="shared" si="88"/>
        <v>483431377.27999997</v>
      </c>
      <c r="H211" s="24">
        <f t="shared" si="85"/>
        <v>0.27560353400679266</v>
      </c>
      <c r="I211" s="207" t="s">
        <v>161</v>
      </c>
      <c r="J211" s="294"/>
      <c r="K211" s="296"/>
      <c r="L211" s="295"/>
    </row>
    <row r="212" spans="1:12" s="176" customFormat="1" x14ac:dyDescent="0.25">
      <c r="A212" s="188"/>
      <c r="B212" s="178"/>
      <c r="C212" s="171"/>
      <c r="D212" s="192"/>
      <c r="E212" s="192"/>
      <c r="F212" s="192"/>
      <c r="G212" s="192"/>
      <c r="H212" s="24"/>
      <c r="I212" s="207"/>
      <c r="J212" s="294"/>
      <c r="K212" s="295"/>
      <c r="L212" s="295"/>
    </row>
    <row r="213" spans="1:12" s="176" customFormat="1" x14ac:dyDescent="0.25">
      <c r="A213" s="168" t="s">
        <v>591</v>
      </c>
      <c r="B213" s="22" t="s">
        <v>306</v>
      </c>
      <c r="C213" s="185" t="s">
        <v>75</v>
      </c>
      <c r="D213" s="196">
        <f t="shared" ref="D213:G216" si="89">D214</f>
        <v>167200000</v>
      </c>
      <c r="E213" s="196">
        <f t="shared" si="89"/>
        <v>23115037</v>
      </c>
      <c r="F213" s="196">
        <f t="shared" si="89"/>
        <v>9774274</v>
      </c>
      <c r="G213" s="196">
        <f t="shared" si="89"/>
        <v>32889311</v>
      </c>
      <c r="H213" s="236">
        <f>G213/D213</f>
        <v>0.19670640550239235</v>
      </c>
      <c r="I213" s="209"/>
      <c r="J213" s="294"/>
      <c r="K213" s="295"/>
      <c r="L213" s="295"/>
    </row>
    <row r="214" spans="1:12" s="176" customFormat="1" x14ac:dyDescent="0.25">
      <c r="A214" s="188"/>
      <c r="B214" s="189" t="s">
        <v>340</v>
      </c>
      <c r="C214" s="185" t="s">
        <v>341</v>
      </c>
      <c r="D214" s="196">
        <f t="shared" si="89"/>
        <v>167200000</v>
      </c>
      <c r="E214" s="196">
        <f t="shared" si="89"/>
        <v>23115037</v>
      </c>
      <c r="F214" s="196">
        <f t="shared" si="89"/>
        <v>9774274</v>
      </c>
      <c r="G214" s="196">
        <f t="shared" si="89"/>
        <v>32889311</v>
      </c>
      <c r="H214" s="236">
        <f>G214/D214</f>
        <v>0.19670640550239235</v>
      </c>
      <c r="I214" s="209"/>
      <c r="J214" s="294"/>
      <c r="K214" s="295"/>
      <c r="L214" s="295"/>
    </row>
    <row r="215" spans="1:12" s="176" customFormat="1" x14ac:dyDescent="0.25">
      <c r="A215" s="188"/>
      <c r="B215" s="22"/>
      <c r="C215" s="185" t="s">
        <v>76</v>
      </c>
      <c r="D215" s="196">
        <f t="shared" si="89"/>
        <v>167200000</v>
      </c>
      <c r="E215" s="196">
        <f t="shared" si="89"/>
        <v>23115037</v>
      </c>
      <c r="F215" s="196">
        <f t="shared" si="89"/>
        <v>9774274</v>
      </c>
      <c r="G215" s="196">
        <f t="shared" si="89"/>
        <v>32889311</v>
      </c>
      <c r="H215" s="236">
        <f>G215/D215</f>
        <v>0.19670640550239235</v>
      </c>
      <c r="I215" s="209"/>
      <c r="J215" s="294"/>
      <c r="K215" s="295"/>
      <c r="L215" s="295"/>
    </row>
    <row r="216" spans="1:12" s="176" customFormat="1" x14ac:dyDescent="0.25">
      <c r="A216" s="188"/>
      <c r="B216" s="178"/>
      <c r="C216" s="183" t="s">
        <v>77</v>
      </c>
      <c r="D216" s="191">
        <f t="shared" si="89"/>
        <v>167200000</v>
      </c>
      <c r="E216" s="191">
        <f t="shared" si="89"/>
        <v>23115037</v>
      </c>
      <c r="F216" s="191">
        <f t="shared" si="89"/>
        <v>9774274</v>
      </c>
      <c r="G216" s="191">
        <f t="shared" si="89"/>
        <v>32889311</v>
      </c>
      <c r="H216" s="236">
        <f>G216/D216</f>
        <v>0.19670640550239235</v>
      </c>
      <c r="I216" s="207"/>
      <c r="J216" s="294"/>
      <c r="K216" s="295"/>
      <c r="L216" s="295"/>
    </row>
    <row r="217" spans="1:12" s="176" customFormat="1" x14ac:dyDescent="0.25">
      <c r="A217" s="182"/>
      <c r="B217" s="177" t="s">
        <v>79</v>
      </c>
      <c r="C217" s="183" t="s">
        <v>80</v>
      </c>
      <c r="D217" s="192">
        <v>167200000</v>
      </c>
      <c r="E217" s="192">
        <f>'Realisasi Maret'!G217</f>
        <v>23115037</v>
      </c>
      <c r="F217" s="192">
        <v>9774274</v>
      </c>
      <c r="G217" s="192">
        <f>E217+F217</f>
        <v>32889311</v>
      </c>
      <c r="H217" s="24">
        <f>G217/D217</f>
        <v>0.19670640550239235</v>
      </c>
      <c r="I217" s="207" t="s">
        <v>78</v>
      </c>
      <c r="J217" s="294"/>
      <c r="K217" s="295"/>
      <c r="L217" s="295"/>
    </row>
    <row r="218" spans="1:12" s="176" customFormat="1" x14ac:dyDescent="0.25">
      <c r="A218" s="182"/>
      <c r="B218" s="177"/>
      <c r="C218" s="183"/>
      <c r="D218" s="192"/>
      <c r="E218" s="192"/>
      <c r="F218" s="192"/>
      <c r="G218" s="191"/>
      <c r="H218" s="24"/>
      <c r="I218" s="207"/>
      <c r="J218" s="294"/>
      <c r="K218" s="295"/>
      <c r="L218" s="295"/>
    </row>
    <row r="219" spans="1:12" s="187" customFormat="1" x14ac:dyDescent="0.25">
      <c r="A219" s="165" t="s">
        <v>627</v>
      </c>
      <c r="B219" s="179" t="s">
        <v>446</v>
      </c>
      <c r="C219" s="180" t="s">
        <v>447</v>
      </c>
      <c r="D219" s="191">
        <f>D220</f>
        <v>0</v>
      </c>
      <c r="E219" s="191"/>
      <c r="F219" s="191">
        <f>F220</f>
        <v>0</v>
      </c>
      <c r="G219" s="191">
        <f>G220</f>
        <v>0</v>
      </c>
      <c r="H219" s="236" t="e">
        <f>G219/D219</f>
        <v>#DIV/0!</v>
      </c>
      <c r="I219" s="216"/>
      <c r="J219" s="186"/>
    </row>
    <row r="220" spans="1:12" s="187" customFormat="1" x14ac:dyDescent="0.25">
      <c r="A220" s="254"/>
      <c r="B220" s="179" t="s">
        <v>448</v>
      </c>
      <c r="C220" s="180" t="s">
        <v>449</v>
      </c>
      <c r="D220" s="191">
        <f>SUM(D221:D223)</f>
        <v>0</v>
      </c>
      <c r="E220" s="191"/>
      <c r="F220" s="191">
        <f>SUM(F221:F223)</f>
        <v>0</v>
      </c>
      <c r="G220" s="191">
        <f>SUM(G221:G223)</f>
        <v>0</v>
      </c>
      <c r="H220" s="236" t="e">
        <f>G220/D220</f>
        <v>#DIV/0!</v>
      </c>
      <c r="I220" s="216"/>
      <c r="J220" s="186"/>
    </row>
    <row r="221" spans="1:12" s="176" customFormat="1" x14ac:dyDescent="0.25">
      <c r="A221" s="182"/>
      <c r="B221" s="178"/>
      <c r="C221" s="193" t="s">
        <v>450</v>
      </c>
      <c r="D221" s="192">
        <v>0</v>
      </c>
      <c r="E221" s="192">
        <f>'Realisasi Maret'!G221</f>
        <v>0</v>
      </c>
      <c r="F221" s="192"/>
      <c r="G221" s="192">
        <f>E221+F221</f>
        <v>0</v>
      </c>
      <c r="H221" s="252" t="e">
        <f>G221/D221</f>
        <v>#DIV/0!</v>
      </c>
      <c r="I221" s="207"/>
      <c r="J221" s="175"/>
    </row>
    <row r="222" spans="1:12" s="176" customFormat="1" x14ac:dyDescent="0.25">
      <c r="A222" s="182"/>
      <c r="B222" s="178"/>
      <c r="C222" s="193" t="s">
        <v>451</v>
      </c>
      <c r="D222" s="192">
        <v>0</v>
      </c>
      <c r="E222" s="192">
        <f>'Realisasi Maret'!G222</f>
        <v>0</v>
      </c>
      <c r="F222" s="192"/>
      <c r="G222" s="192">
        <f>E222+F222</f>
        <v>0</v>
      </c>
      <c r="H222" s="252" t="e">
        <f>G222/D222</f>
        <v>#DIV/0!</v>
      </c>
      <c r="I222" s="207"/>
      <c r="J222" s="175"/>
    </row>
    <row r="223" spans="1:12" s="176" customFormat="1" x14ac:dyDescent="0.25">
      <c r="A223" s="182"/>
      <c r="B223" s="178"/>
      <c r="C223" s="193"/>
      <c r="D223" s="192"/>
      <c r="E223" s="192"/>
      <c r="F223" s="192"/>
      <c r="G223" s="192"/>
      <c r="H223" s="252"/>
      <c r="I223" s="207"/>
      <c r="J223" s="175"/>
    </row>
    <row r="224" spans="1:12" s="176" customFormat="1" x14ac:dyDescent="0.25">
      <c r="A224" s="182"/>
      <c r="B224" s="36"/>
      <c r="C224" s="37"/>
      <c r="D224" s="192"/>
      <c r="E224" s="192"/>
      <c r="F224" s="192"/>
      <c r="G224" s="191"/>
      <c r="H224" s="236"/>
      <c r="I224" s="222"/>
      <c r="J224" s="175"/>
    </row>
    <row r="225" spans="1:11" s="176" customFormat="1" ht="24.75" customHeight="1" x14ac:dyDescent="0.25">
      <c r="A225" s="126" t="s">
        <v>163</v>
      </c>
      <c r="B225" s="128" t="s">
        <v>164</v>
      </c>
      <c r="C225" s="41" t="s">
        <v>268</v>
      </c>
      <c r="D225" s="42">
        <f>SUM(D226+D415)</f>
        <v>748486409081</v>
      </c>
      <c r="E225" s="42">
        <f>SUM(E226+E415)</f>
        <v>171371378700</v>
      </c>
      <c r="F225" s="42">
        <f t="shared" ref="F225:G225" si="90">SUM(F226+F415)</f>
        <v>66364214994</v>
      </c>
      <c r="G225" s="42">
        <f t="shared" si="90"/>
        <v>237735593694</v>
      </c>
      <c r="H225" s="237">
        <f t="shared" ref="H225:H230" si="91">G225/D225</f>
        <v>0.31762179086978271</v>
      </c>
      <c r="I225" s="223"/>
      <c r="J225" s="175"/>
      <c r="K225" s="270"/>
    </row>
    <row r="226" spans="1:11" s="176" customFormat="1" x14ac:dyDescent="0.25">
      <c r="A226" s="134" t="s">
        <v>416</v>
      </c>
      <c r="B226" s="135" t="s">
        <v>350</v>
      </c>
      <c r="C226" s="136" t="s">
        <v>351</v>
      </c>
      <c r="D226" s="137">
        <f>SUM(D227+D408)</f>
        <v>643257080000</v>
      </c>
      <c r="E226" s="137">
        <f t="shared" ref="E226:G226" si="92">SUM(E227+E408)</f>
        <v>171371378700</v>
      </c>
      <c r="F226" s="137">
        <f t="shared" si="92"/>
        <v>37771536538</v>
      </c>
      <c r="G226" s="137">
        <f t="shared" si="92"/>
        <v>209142915238</v>
      </c>
      <c r="H226" s="238">
        <f t="shared" si="91"/>
        <v>0.32513115166645346</v>
      </c>
      <c r="I226" s="223"/>
      <c r="J226" s="175"/>
    </row>
    <row r="227" spans="1:11" s="176" customFormat="1" x14ac:dyDescent="0.25">
      <c r="A227" s="123" t="s">
        <v>89</v>
      </c>
      <c r="B227" s="133" t="s">
        <v>352</v>
      </c>
      <c r="C227" s="124" t="s">
        <v>165</v>
      </c>
      <c r="D227" s="125">
        <f>SUM(D228+D293+D295+D363)</f>
        <v>643257080000</v>
      </c>
      <c r="E227" s="125">
        <f t="shared" ref="E227:G227" si="93">SUM(E228+E293+E295+E363)</f>
        <v>171371378700</v>
      </c>
      <c r="F227" s="125">
        <f>SUM(F228+F293+F295+F363)</f>
        <v>37771536538</v>
      </c>
      <c r="G227" s="125">
        <f t="shared" si="93"/>
        <v>209142915238</v>
      </c>
      <c r="H227" s="239">
        <f t="shared" si="91"/>
        <v>0.32513115166645346</v>
      </c>
      <c r="I227" s="223"/>
      <c r="J227" s="175"/>
      <c r="K227" s="270"/>
    </row>
    <row r="228" spans="1:11" s="176" customFormat="1" x14ac:dyDescent="0.25">
      <c r="A228" s="138" t="s">
        <v>166</v>
      </c>
      <c r="B228" s="139" t="s">
        <v>353</v>
      </c>
      <c r="C228" s="140" t="s">
        <v>354</v>
      </c>
      <c r="D228" s="141">
        <f>SUM(D229+D260+D264+D268+D272+D276+D280+D285+D288)</f>
        <v>154499794000</v>
      </c>
      <c r="E228" s="141">
        <f>SUM(E229+E260+E264+E268+E272+E276+E280+E285+E288)</f>
        <v>29170498700</v>
      </c>
      <c r="F228" s="141">
        <f>SUM(F229+F260+F264+F268+F272+F276+F280+F285+F288)</f>
        <v>1745760400</v>
      </c>
      <c r="G228" s="141">
        <f>G229+G260+G264+G268+G272+G276+G280+G288</f>
        <v>30916259100</v>
      </c>
      <c r="H228" s="240">
        <f t="shared" si="91"/>
        <v>0.20010550370054214</v>
      </c>
      <c r="I228" s="224"/>
      <c r="J228" s="175"/>
      <c r="K228" s="270"/>
    </row>
    <row r="229" spans="1:11" s="187" customFormat="1" x14ac:dyDescent="0.25">
      <c r="A229" s="184" t="s">
        <v>406</v>
      </c>
      <c r="B229" s="189" t="s">
        <v>355</v>
      </c>
      <c r="C229" s="185" t="s">
        <v>356</v>
      </c>
      <c r="D229" s="196">
        <f>D230+D240</f>
        <v>25228962000</v>
      </c>
      <c r="E229" s="196">
        <f t="shared" ref="E229:G229" si="94">E230+E240</f>
        <v>3832148000</v>
      </c>
      <c r="F229" s="196">
        <f t="shared" si="94"/>
        <v>1082032500</v>
      </c>
      <c r="G229" s="196">
        <f t="shared" si="94"/>
        <v>4914180500</v>
      </c>
      <c r="H229" s="236">
        <f t="shared" si="91"/>
        <v>0.19478330103315389</v>
      </c>
      <c r="I229" s="225" t="s">
        <v>167</v>
      </c>
      <c r="J229" s="186"/>
    </row>
    <row r="230" spans="1:11" s="187" customFormat="1" x14ac:dyDescent="0.25">
      <c r="A230" s="184"/>
      <c r="B230" s="189"/>
      <c r="C230" s="185" t="s">
        <v>633</v>
      </c>
      <c r="D230" s="196">
        <v>25228962000</v>
      </c>
      <c r="E230" s="196">
        <f>SUM(E231:E239)</f>
        <v>3832148000</v>
      </c>
      <c r="F230" s="196">
        <f t="shared" ref="F230:G230" si="95">SUM(F231:F239)</f>
        <v>1082032500</v>
      </c>
      <c r="G230" s="196">
        <f t="shared" si="95"/>
        <v>4914180500</v>
      </c>
      <c r="H230" s="236">
        <f t="shared" si="91"/>
        <v>0.19478330103315389</v>
      </c>
      <c r="I230" s="225"/>
      <c r="J230" s="186"/>
    </row>
    <row r="231" spans="1:11" s="187" customFormat="1" x14ac:dyDescent="0.25">
      <c r="A231" s="184"/>
      <c r="B231" s="190"/>
      <c r="C231" s="193" t="s">
        <v>453</v>
      </c>
      <c r="D231" s="181"/>
      <c r="E231" s="181">
        <f>'Realisasi Maret'!G231</f>
        <v>0</v>
      </c>
      <c r="F231" s="181">
        <v>1082032500</v>
      </c>
      <c r="G231" s="192">
        <f>E231+F231</f>
        <v>1082032500</v>
      </c>
      <c r="H231" s="24"/>
      <c r="I231" s="225"/>
      <c r="J231" s="186"/>
    </row>
    <row r="232" spans="1:11" s="187" customFormat="1" x14ac:dyDescent="0.25">
      <c r="A232" s="184"/>
      <c r="B232" s="190"/>
      <c r="C232" s="193" t="s">
        <v>454</v>
      </c>
      <c r="D232" s="181"/>
      <c r="E232" s="181">
        <f>'Realisasi Maret'!G232</f>
        <v>0</v>
      </c>
      <c r="F232" s="181"/>
      <c r="G232" s="192">
        <f t="shared" ref="G232:G239" si="96">E232+F232</f>
        <v>0</v>
      </c>
      <c r="H232" s="24"/>
      <c r="I232" s="225"/>
      <c r="J232" s="186"/>
    </row>
    <row r="233" spans="1:11" s="187" customFormat="1" x14ac:dyDescent="0.25">
      <c r="A233" s="184"/>
      <c r="B233" s="190"/>
      <c r="C233" s="193" t="s">
        <v>455</v>
      </c>
      <c r="D233" s="181"/>
      <c r="E233" s="181">
        <f>'Realisasi Maret'!G233</f>
        <v>0</v>
      </c>
      <c r="F233" s="181"/>
      <c r="G233" s="192">
        <f t="shared" si="96"/>
        <v>0</v>
      </c>
      <c r="H233" s="24"/>
      <c r="I233" s="225"/>
      <c r="J233" s="186"/>
    </row>
    <row r="234" spans="1:11" s="187" customFormat="1" x14ac:dyDescent="0.25">
      <c r="A234" s="184"/>
      <c r="B234" s="190"/>
      <c r="C234" s="193" t="s">
        <v>456</v>
      </c>
      <c r="D234" s="181"/>
      <c r="E234" s="181">
        <f>'Realisasi Maret'!G234</f>
        <v>3708530400</v>
      </c>
      <c r="F234" s="181"/>
      <c r="G234" s="192">
        <f t="shared" si="96"/>
        <v>3708530400</v>
      </c>
      <c r="H234" s="24"/>
      <c r="I234" s="225"/>
      <c r="J234" s="186"/>
    </row>
    <row r="235" spans="1:11" s="187" customFormat="1" x14ac:dyDescent="0.25">
      <c r="A235" s="184"/>
      <c r="B235" s="190"/>
      <c r="C235" s="193" t="s">
        <v>457</v>
      </c>
      <c r="D235" s="181"/>
      <c r="E235" s="181">
        <f>'Realisasi Maret'!G235</f>
        <v>0</v>
      </c>
      <c r="F235" s="181"/>
      <c r="G235" s="192">
        <f t="shared" si="96"/>
        <v>0</v>
      </c>
      <c r="H235" s="24"/>
      <c r="I235" s="225"/>
      <c r="J235" s="186"/>
    </row>
    <row r="236" spans="1:11" s="187" customFormat="1" x14ac:dyDescent="0.25">
      <c r="A236" s="184"/>
      <c r="B236" s="190"/>
      <c r="C236" s="193" t="s">
        <v>458</v>
      </c>
      <c r="D236" s="181"/>
      <c r="E236" s="181">
        <f>'Realisasi Maret'!G236</f>
        <v>0</v>
      </c>
      <c r="F236" s="181"/>
      <c r="G236" s="192">
        <f t="shared" si="96"/>
        <v>0</v>
      </c>
      <c r="H236" s="24"/>
      <c r="I236" s="225"/>
      <c r="J236" s="186"/>
    </row>
    <row r="237" spans="1:11" s="187" customFormat="1" x14ac:dyDescent="0.25">
      <c r="A237" s="184"/>
      <c r="B237" s="190"/>
      <c r="C237" s="193" t="s">
        <v>459</v>
      </c>
      <c r="D237" s="181"/>
      <c r="E237" s="181">
        <f>'Realisasi Maret'!G237</f>
        <v>0</v>
      </c>
      <c r="F237" s="181"/>
      <c r="G237" s="192">
        <f t="shared" si="96"/>
        <v>0</v>
      </c>
      <c r="H237" s="24"/>
      <c r="I237" s="225"/>
      <c r="J237" s="186"/>
    </row>
    <row r="238" spans="1:11" s="187" customFormat="1" x14ac:dyDescent="0.25">
      <c r="A238" s="184"/>
      <c r="B238" s="190"/>
      <c r="C238" s="193" t="s">
        <v>460</v>
      </c>
      <c r="D238" s="181"/>
      <c r="E238" s="181">
        <f>'Realisasi Maret'!G238</f>
        <v>123617600</v>
      </c>
      <c r="F238" s="181"/>
      <c r="G238" s="192">
        <f t="shared" si="96"/>
        <v>123617600</v>
      </c>
      <c r="H238" s="24"/>
      <c r="I238" s="225"/>
      <c r="J238" s="186"/>
    </row>
    <row r="239" spans="1:11" s="187" customFormat="1" x14ac:dyDescent="0.25">
      <c r="A239" s="184"/>
      <c r="B239" s="190"/>
      <c r="C239" s="193" t="s">
        <v>461</v>
      </c>
      <c r="D239" s="181"/>
      <c r="E239" s="181">
        <f>'Realisasi Maret'!G239</f>
        <v>0</v>
      </c>
      <c r="F239" s="181"/>
      <c r="G239" s="192">
        <f t="shared" si="96"/>
        <v>0</v>
      </c>
      <c r="H239" s="24"/>
      <c r="I239" s="225"/>
      <c r="J239" s="186"/>
    </row>
    <row r="240" spans="1:11" s="187" customFormat="1" x14ac:dyDescent="0.25">
      <c r="A240" s="184"/>
      <c r="B240" s="190"/>
      <c r="C240" s="35" t="s">
        <v>519</v>
      </c>
      <c r="D240" s="196">
        <f>SUM(D241:D258)</f>
        <v>0</v>
      </c>
      <c r="E240" s="196">
        <f t="shared" ref="E240:G240" si="97">SUM(E241:E258)</f>
        <v>0</v>
      </c>
      <c r="F240" s="196">
        <f t="shared" si="97"/>
        <v>0</v>
      </c>
      <c r="G240" s="196">
        <f t="shared" si="97"/>
        <v>0</v>
      </c>
      <c r="H240" s="236" t="e">
        <f t="shared" ref="H240:H258" si="98">G240/D240</f>
        <v>#DIV/0!</v>
      </c>
      <c r="I240" s="225"/>
      <c r="J240" s="186"/>
    </row>
    <row r="241" spans="1:10" s="187" customFormat="1" x14ac:dyDescent="0.25">
      <c r="A241" s="184"/>
      <c r="B241" s="190"/>
      <c r="C241" s="193" t="s">
        <v>521</v>
      </c>
      <c r="D241" s="181"/>
      <c r="E241" s="181">
        <f>'Realisasi Maret'!G241</f>
        <v>0</v>
      </c>
      <c r="F241" s="181"/>
      <c r="G241" s="192">
        <f>E241+F241</f>
        <v>0</v>
      </c>
      <c r="H241" s="24" t="e">
        <f t="shared" si="98"/>
        <v>#DIV/0!</v>
      </c>
      <c r="I241" s="225"/>
      <c r="J241" s="186"/>
    </row>
    <row r="242" spans="1:10" s="187" customFormat="1" x14ac:dyDescent="0.25">
      <c r="A242" s="184"/>
      <c r="B242" s="190"/>
      <c r="C242" s="193" t="s">
        <v>520</v>
      </c>
      <c r="D242" s="181"/>
      <c r="E242" s="181">
        <f>'Realisasi Maret'!G242</f>
        <v>0</v>
      </c>
      <c r="F242" s="181"/>
      <c r="G242" s="192">
        <f t="shared" ref="G242:G258" si="99">E242+F242</f>
        <v>0</v>
      </c>
      <c r="H242" s="24" t="e">
        <f t="shared" si="98"/>
        <v>#DIV/0!</v>
      </c>
      <c r="I242" s="225"/>
      <c r="J242" s="186"/>
    </row>
    <row r="243" spans="1:10" s="187" customFormat="1" x14ac:dyDescent="0.25">
      <c r="A243" s="184"/>
      <c r="B243" s="190"/>
      <c r="C243" s="193" t="s">
        <v>522</v>
      </c>
      <c r="D243" s="181"/>
      <c r="E243" s="181">
        <f>'Realisasi Maret'!G243</f>
        <v>0</v>
      </c>
      <c r="F243" s="181"/>
      <c r="G243" s="192">
        <f t="shared" si="99"/>
        <v>0</v>
      </c>
      <c r="H243" s="24" t="e">
        <f t="shared" si="98"/>
        <v>#DIV/0!</v>
      </c>
      <c r="I243" s="225"/>
      <c r="J243" s="186"/>
    </row>
    <row r="244" spans="1:10" s="187" customFormat="1" x14ac:dyDescent="0.25">
      <c r="A244" s="184"/>
      <c r="B244" s="190"/>
      <c r="C244" s="193" t="s">
        <v>523</v>
      </c>
      <c r="D244" s="181"/>
      <c r="E244" s="181">
        <f>'Realisasi Maret'!G244</f>
        <v>0</v>
      </c>
      <c r="F244" s="181"/>
      <c r="G244" s="192">
        <f t="shared" si="99"/>
        <v>0</v>
      </c>
      <c r="H244" s="24" t="e">
        <f t="shared" si="98"/>
        <v>#DIV/0!</v>
      </c>
      <c r="I244" s="225"/>
      <c r="J244" s="186"/>
    </row>
    <row r="245" spans="1:10" s="187" customFormat="1" x14ac:dyDescent="0.25">
      <c r="A245" s="184"/>
      <c r="B245" s="190"/>
      <c r="C245" s="193" t="s">
        <v>524</v>
      </c>
      <c r="D245" s="181"/>
      <c r="E245" s="181">
        <f>'Realisasi Maret'!G245</f>
        <v>0</v>
      </c>
      <c r="F245" s="181"/>
      <c r="G245" s="192">
        <f t="shared" si="99"/>
        <v>0</v>
      </c>
      <c r="H245" s="24" t="e">
        <f t="shared" si="98"/>
        <v>#DIV/0!</v>
      </c>
      <c r="I245" s="225"/>
      <c r="J245" s="186"/>
    </row>
    <row r="246" spans="1:10" s="187" customFormat="1" x14ac:dyDescent="0.25">
      <c r="A246" s="184"/>
      <c r="B246" s="190"/>
      <c r="C246" s="193" t="s">
        <v>525</v>
      </c>
      <c r="D246" s="181"/>
      <c r="E246" s="181">
        <f>'Realisasi Maret'!G246</f>
        <v>0</v>
      </c>
      <c r="F246" s="181"/>
      <c r="G246" s="192">
        <f t="shared" si="99"/>
        <v>0</v>
      </c>
      <c r="H246" s="24" t="e">
        <f t="shared" si="98"/>
        <v>#DIV/0!</v>
      </c>
      <c r="I246" s="225"/>
      <c r="J246" s="186"/>
    </row>
    <row r="247" spans="1:10" s="187" customFormat="1" x14ac:dyDescent="0.25">
      <c r="A247" s="184"/>
      <c r="B247" s="190"/>
      <c r="C247" s="193" t="s">
        <v>526</v>
      </c>
      <c r="D247" s="181"/>
      <c r="E247" s="181">
        <f>'Realisasi Maret'!G247</f>
        <v>0</v>
      </c>
      <c r="F247" s="181"/>
      <c r="G247" s="192">
        <f t="shared" si="99"/>
        <v>0</v>
      </c>
      <c r="H247" s="24" t="e">
        <f t="shared" si="98"/>
        <v>#DIV/0!</v>
      </c>
      <c r="I247" s="225"/>
      <c r="J247" s="186"/>
    </row>
    <row r="248" spans="1:10" s="187" customFormat="1" x14ac:dyDescent="0.25">
      <c r="A248" s="184"/>
      <c r="B248" s="190"/>
      <c r="C248" s="193" t="s">
        <v>527</v>
      </c>
      <c r="D248" s="181"/>
      <c r="E248" s="181">
        <f>'Realisasi Maret'!G248</f>
        <v>0</v>
      </c>
      <c r="F248" s="181"/>
      <c r="G248" s="192">
        <f t="shared" si="99"/>
        <v>0</v>
      </c>
      <c r="H248" s="24" t="e">
        <f t="shared" si="98"/>
        <v>#DIV/0!</v>
      </c>
      <c r="I248" s="225"/>
      <c r="J248" s="186"/>
    </row>
    <row r="249" spans="1:10" s="187" customFormat="1" x14ac:dyDescent="0.25">
      <c r="A249" s="184"/>
      <c r="B249" s="190"/>
      <c r="C249" s="193" t="s">
        <v>528</v>
      </c>
      <c r="D249" s="181"/>
      <c r="E249" s="181">
        <f>'Realisasi Maret'!G249</f>
        <v>0</v>
      </c>
      <c r="F249" s="181"/>
      <c r="G249" s="192">
        <f t="shared" si="99"/>
        <v>0</v>
      </c>
      <c r="H249" s="24" t="e">
        <f t="shared" si="98"/>
        <v>#DIV/0!</v>
      </c>
      <c r="I249" s="225"/>
      <c r="J249" s="186"/>
    </row>
    <row r="250" spans="1:10" s="187" customFormat="1" x14ac:dyDescent="0.25">
      <c r="A250" s="184"/>
      <c r="B250" s="190"/>
      <c r="C250" s="193" t="s">
        <v>567</v>
      </c>
      <c r="D250" s="181"/>
      <c r="E250" s="181">
        <f>'Realisasi Maret'!G250</f>
        <v>0</v>
      </c>
      <c r="F250" s="181"/>
      <c r="G250" s="192">
        <f t="shared" si="99"/>
        <v>0</v>
      </c>
      <c r="H250" s="24" t="e">
        <f t="shared" si="98"/>
        <v>#DIV/0!</v>
      </c>
      <c r="I250" s="225"/>
      <c r="J250" s="186"/>
    </row>
    <row r="251" spans="1:10" s="187" customFormat="1" x14ac:dyDescent="0.25">
      <c r="A251" s="184"/>
      <c r="B251" s="190"/>
      <c r="C251" s="193" t="s">
        <v>568</v>
      </c>
      <c r="D251" s="181"/>
      <c r="E251" s="181">
        <f>'Realisasi Maret'!G251</f>
        <v>0</v>
      </c>
      <c r="F251" s="181"/>
      <c r="G251" s="192">
        <f t="shared" si="99"/>
        <v>0</v>
      </c>
      <c r="H251" s="24" t="e">
        <f t="shared" si="98"/>
        <v>#DIV/0!</v>
      </c>
      <c r="I251" s="225"/>
      <c r="J251" s="186"/>
    </row>
    <row r="252" spans="1:10" s="187" customFormat="1" x14ac:dyDescent="0.25">
      <c r="A252" s="184"/>
      <c r="B252" s="190"/>
      <c r="C252" s="193" t="s">
        <v>569</v>
      </c>
      <c r="D252" s="181"/>
      <c r="E252" s="181">
        <f>'Realisasi Maret'!G252</f>
        <v>0</v>
      </c>
      <c r="F252" s="181"/>
      <c r="G252" s="192">
        <f t="shared" si="99"/>
        <v>0</v>
      </c>
      <c r="H252" s="24" t="e">
        <f t="shared" si="98"/>
        <v>#DIV/0!</v>
      </c>
      <c r="I252" s="225"/>
      <c r="J252" s="186"/>
    </row>
    <row r="253" spans="1:10" s="187" customFormat="1" x14ac:dyDescent="0.25">
      <c r="A253" s="184"/>
      <c r="B253" s="190"/>
      <c r="C253" s="193" t="s">
        <v>570</v>
      </c>
      <c r="D253" s="181"/>
      <c r="E253" s="181">
        <f>'Realisasi Maret'!G253</f>
        <v>0</v>
      </c>
      <c r="F253" s="181"/>
      <c r="G253" s="192">
        <f t="shared" si="99"/>
        <v>0</v>
      </c>
      <c r="H253" s="24" t="e">
        <f t="shared" si="98"/>
        <v>#DIV/0!</v>
      </c>
      <c r="I253" s="225"/>
      <c r="J253" s="186"/>
    </row>
    <row r="254" spans="1:10" s="187" customFormat="1" x14ac:dyDescent="0.25">
      <c r="A254" s="184"/>
      <c r="B254" s="190"/>
      <c r="C254" s="193" t="s">
        <v>571</v>
      </c>
      <c r="D254" s="181"/>
      <c r="E254" s="181">
        <f>'Realisasi Maret'!G254</f>
        <v>0</v>
      </c>
      <c r="F254" s="181"/>
      <c r="G254" s="192">
        <f t="shared" si="99"/>
        <v>0</v>
      </c>
      <c r="H254" s="24" t="e">
        <f t="shared" si="98"/>
        <v>#DIV/0!</v>
      </c>
      <c r="I254" s="225"/>
      <c r="J254" s="186"/>
    </row>
    <row r="255" spans="1:10" s="187" customFormat="1" x14ac:dyDescent="0.25">
      <c r="A255" s="184"/>
      <c r="B255" s="190"/>
      <c r="C255" s="193" t="s">
        <v>572</v>
      </c>
      <c r="D255" s="181"/>
      <c r="E255" s="181">
        <f>'Realisasi Maret'!G255</f>
        <v>0</v>
      </c>
      <c r="F255" s="181"/>
      <c r="G255" s="192">
        <f t="shared" si="99"/>
        <v>0</v>
      </c>
      <c r="H255" s="24" t="e">
        <f t="shared" si="98"/>
        <v>#DIV/0!</v>
      </c>
      <c r="I255" s="225"/>
      <c r="J255" s="186"/>
    </row>
    <row r="256" spans="1:10" s="187" customFormat="1" x14ac:dyDescent="0.25">
      <c r="A256" s="184"/>
      <c r="B256" s="190"/>
      <c r="C256" s="193" t="s">
        <v>573</v>
      </c>
      <c r="D256" s="181"/>
      <c r="E256" s="181">
        <f>'Realisasi Maret'!G256</f>
        <v>0</v>
      </c>
      <c r="F256" s="181"/>
      <c r="G256" s="192">
        <f t="shared" si="99"/>
        <v>0</v>
      </c>
      <c r="H256" s="24" t="e">
        <f t="shared" si="98"/>
        <v>#DIV/0!</v>
      </c>
      <c r="I256" s="225"/>
      <c r="J256" s="186"/>
    </row>
    <row r="257" spans="1:10" s="187" customFormat="1" x14ac:dyDescent="0.25">
      <c r="A257" s="184"/>
      <c r="B257" s="190"/>
      <c r="C257" s="193" t="s">
        <v>574</v>
      </c>
      <c r="D257" s="181"/>
      <c r="E257" s="181">
        <f>'Realisasi Maret'!G257</f>
        <v>0</v>
      </c>
      <c r="F257" s="181"/>
      <c r="G257" s="192">
        <f t="shared" si="99"/>
        <v>0</v>
      </c>
      <c r="H257" s="24" t="e">
        <f t="shared" si="98"/>
        <v>#DIV/0!</v>
      </c>
      <c r="I257" s="225"/>
      <c r="J257" s="186"/>
    </row>
    <row r="258" spans="1:10" s="187" customFormat="1" x14ac:dyDescent="0.25">
      <c r="A258" s="184"/>
      <c r="B258" s="190"/>
      <c r="C258" s="193" t="s">
        <v>575</v>
      </c>
      <c r="D258" s="181"/>
      <c r="E258" s="181">
        <f>'Realisasi Maret'!G258</f>
        <v>0</v>
      </c>
      <c r="F258" s="181"/>
      <c r="G258" s="192">
        <f t="shared" si="99"/>
        <v>0</v>
      </c>
      <c r="H258" s="24" t="e">
        <f t="shared" si="98"/>
        <v>#DIV/0!</v>
      </c>
      <c r="I258" s="225"/>
      <c r="J258" s="186"/>
    </row>
    <row r="259" spans="1:10" s="187" customFormat="1" x14ac:dyDescent="0.25">
      <c r="A259" s="184"/>
      <c r="B259" s="190"/>
      <c r="C259" s="183"/>
      <c r="D259" s="181"/>
      <c r="E259" s="181"/>
      <c r="F259" s="181"/>
      <c r="G259" s="192"/>
      <c r="H259" s="24"/>
      <c r="I259" s="225"/>
      <c r="J259" s="186"/>
    </row>
    <row r="260" spans="1:10" s="187" customFormat="1" x14ac:dyDescent="0.25">
      <c r="A260" s="184" t="s">
        <v>407</v>
      </c>
      <c r="B260" s="189" t="s">
        <v>357</v>
      </c>
      <c r="C260" s="185" t="s">
        <v>358</v>
      </c>
      <c r="D260" s="191">
        <v>26768038000</v>
      </c>
      <c r="E260" s="191">
        <f>SUM(E261:E262)</f>
        <v>5131406800</v>
      </c>
      <c r="F260" s="191">
        <f t="shared" ref="F260:G260" si="100">SUM(F261:F262)</f>
        <v>0</v>
      </c>
      <c r="G260" s="191">
        <f t="shared" si="100"/>
        <v>5131406800</v>
      </c>
      <c r="H260" s="236">
        <f>G260/D260</f>
        <v>0.19169902553186752</v>
      </c>
      <c r="I260" s="225" t="s">
        <v>167</v>
      </c>
      <c r="J260" s="186"/>
    </row>
    <row r="261" spans="1:10" s="187" customFormat="1" x14ac:dyDescent="0.25">
      <c r="A261" s="184"/>
      <c r="B261" s="190"/>
      <c r="C261" s="193" t="s">
        <v>650</v>
      </c>
      <c r="D261" s="192"/>
      <c r="E261" s="192">
        <f>'Realisasi Maret'!G261</f>
        <v>5131406800</v>
      </c>
      <c r="F261" s="192"/>
      <c r="G261" s="192">
        <f>E261+F261</f>
        <v>5131406800</v>
      </c>
      <c r="H261" s="24" t="e">
        <f>G261/D261</f>
        <v>#DIV/0!</v>
      </c>
      <c r="I261" s="225"/>
      <c r="J261" s="186"/>
    </row>
    <row r="262" spans="1:10" s="187" customFormat="1" x14ac:dyDescent="0.25">
      <c r="A262" s="184"/>
      <c r="B262" s="190"/>
      <c r="C262" s="193" t="s">
        <v>651</v>
      </c>
      <c r="D262" s="192"/>
      <c r="E262" s="192">
        <f>'Realisasi Maret'!G262</f>
        <v>0</v>
      </c>
      <c r="F262" s="192"/>
      <c r="G262" s="192">
        <f t="shared" ref="G262" si="101">E262+F262</f>
        <v>0</v>
      </c>
      <c r="H262" s="24" t="e">
        <f>G262/D262</f>
        <v>#DIV/0!</v>
      </c>
      <c r="I262" s="225"/>
      <c r="J262" s="186"/>
    </row>
    <row r="263" spans="1:10" s="187" customFormat="1" x14ac:dyDescent="0.25">
      <c r="A263" s="184"/>
      <c r="B263" s="190"/>
      <c r="C263" s="183"/>
      <c r="D263" s="192"/>
      <c r="E263" s="192"/>
      <c r="F263" s="192"/>
      <c r="G263" s="192"/>
      <c r="H263" s="24"/>
      <c r="I263" s="225"/>
      <c r="J263" s="186"/>
    </row>
    <row r="264" spans="1:10" s="187" customFormat="1" x14ac:dyDescent="0.25">
      <c r="A264" s="184" t="s">
        <v>408</v>
      </c>
      <c r="B264" s="189" t="s">
        <v>359</v>
      </c>
      <c r="C264" s="185" t="s">
        <v>360</v>
      </c>
      <c r="D264" s="191">
        <f>SUM(D265:D266)</f>
        <v>0</v>
      </c>
      <c r="E264" s="191">
        <f>SUM(E265:E266)</f>
        <v>222200800</v>
      </c>
      <c r="F264" s="191">
        <f>SUM(F265:F266)</f>
        <v>0</v>
      </c>
      <c r="G264" s="191">
        <f>SUM(G265:G266)</f>
        <v>222200800</v>
      </c>
      <c r="H264" s="236" t="e">
        <f>G264/D264</f>
        <v>#DIV/0!</v>
      </c>
      <c r="I264" s="225" t="s">
        <v>167</v>
      </c>
      <c r="J264" s="186"/>
    </row>
    <row r="265" spans="1:10" s="187" customFormat="1" x14ac:dyDescent="0.25">
      <c r="A265" s="184"/>
      <c r="B265" s="190"/>
      <c r="C265" s="193" t="s">
        <v>652</v>
      </c>
      <c r="D265" s="192"/>
      <c r="E265" s="192">
        <f>'Realisasi Maret'!G265</f>
        <v>222200800</v>
      </c>
      <c r="F265" s="192"/>
      <c r="G265" s="192">
        <f>E265+F265</f>
        <v>222200800</v>
      </c>
      <c r="H265" s="24" t="e">
        <f>G265/D265</f>
        <v>#DIV/0!</v>
      </c>
      <c r="I265" s="225"/>
      <c r="J265" s="186"/>
    </row>
    <row r="266" spans="1:10" s="187" customFormat="1" x14ac:dyDescent="0.25">
      <c r="A266" s="184"/>
      <c r="B266" s="190"/>
      <c r="C266" s="193" t="s">
        <v>653</v>
      </c>
      <c r="D266" s="192"/>
      <c r="E266" s="192">
        <f>'Realisasi Maret'!G266</f>
        <v>0</v>
      </c>
      <c r="F266" s="192"/>
      <c r="G266" s="192">
        <f t="shared" ref="G266" si="102">E266+F266</f>
        <v>0</v>
      </c>
      <c r="H266" s="24" t="e">
        <f>G266/D266</f>
        <v>#DIV/0!</v>
      </c>
      <c r="I266" s="225"/>
      <c r="J266" s="186"/>
    </row>
    <row r="267" spans="1:10" s="187" customFormat="1" x14ac:dyDescent="0.25">
      <c r="A267" s="184"/>
      <c r="B267" s="190"/>
      <c r="C267" s="183"/>
      <c r="D267" s="192"/>
      <c r="E267" s="192"/>
      <c r="F267" s="192"/>
      <c r="G267" s="192"/>
      <c r="H267" s="24"/>
      <c r="I267" s="225"/>
      <c r="J267" s="186"/>
    </row>
    <row r="268" spans="1:10" s="187" customFormat="1" x14ac:dyDescent="0.25">
      <c r="A268" s="184" t="s">
        <v>409</v>
      </c>
      <c r="B268" s="189" t="s">
        <v>405</v>
      </c>
      <c r="C268" s="185" t="s">
        <v>361</v>
      </c>
      <c r="D268" s="191">
        <v>90682864000</v>
      </c>
      <c r="E268" s="191">
        <f>E269</f>
        <v>17367192400</v>
      </c>
      <c r="F268" s="191">
        <f t="shared" ref="F268:G268" si="103">F269</f>
        <v>0</v>
      </c>
      <c r="G268" s="191">
        <f t="shared" si="103"/>
        <v>17367192400</v>
      </c>
      <c r="H268" s="236">
        <f>G268/D268</f>
        <v>0.19151570245950766</v>
      </c>
      <c r="I268" s="225" t="s">
        <v>167</v>
      </c>
      <c r="J268" s="186"/>
    </row>
    <row r="269" spans="1:10" s="187" customFormat="1" x14ac:dyDescent="0.25">
      <c r="A269" s="184"/>
      <c r="B269" s="190"/>
      <c r="C269" s="193" t="s">
        <v>654</v>
      </c>
      <c r="D269" s="192"/>
      <c r="E269" s="192">
        <f>'Realisasi Maret'!G269</f>
        <v>17367192400</v>
      </c>
      <c r="F269" s="192"/>
      <c r="G269" s="192">
        <f>E269+F269</f>
        <v>17367192400</v>
      </c>
      <c r="H269" s="24" t="e">
        <f>G269/D269</f>
        <v>#DIV/0!</v>
      </c>
      <c r="I269" s="225"/>
      <c r="J269" s="186"/>
    </row>
    <row r="270" spans="1:10" s="187" customFormat="1" x14ac:dyDescent="0.25">
      <c r="A270" s="184"/>
      <c r="B270" s="190"/>
      <c r="C270" s="193" t="s">
        <v>655</v>
      </c>
      <c r="D270" s="192"/>
      <c r="E270" s="192">
        <f>'Realisasi Maret'!G270</f>
        <v>0</v>
      </c>
      <c r="F270" s="192"/>
      <c r="G270" s="192">
        <f t="shared" ref="G270" si="104">E270+F270</f>
        <v>0</v>
      </c>
      <c r="H270" s="24" t="e">
        <f>G270/D270</f>
        <v>#DIV/0!</v>
      </c>
      <c r="I270" s="225"/>
      <c r="J270" s="186"/>
    </row>
    <row r="271" spans="1:10" s="187" customFormat="1" x14ac:dyDescent="0.25">
      <c r="A271" s="184"/>
      <c r="B271" s="190"/>
      <c r="C271" s="193"/>
      <c r="D271" s="192"/>
      <c r="E271" s="192"/>
      <c r="F271" s="192"/>
      <c r="G271" s="192"/>
      <c r="H271" s="24"/>
      <c r="I271" s="225"/>
      <c r="J271" s="186"/>
    </row>
    <row r="272" spans="1:10" s="187" customFormat="1" x14ac:dyDescent="0.25">
      <c r="A272" s="188" t="s">
        <v>410</v>
      </c>
      <c r="B272" s="189" t="s">
        <v>462</v>
      </c>
      <c r="C272" s="185" t="s">
        <v>463</v>
      </c>
      <c r="D272" s="191">
        <f>SUM(D273:D274)</f>
        <v>0</v>
      </c>
      <c r="E272" s="191">
        <f>SUM(E273:E274)</f>
        <v>769380400</v>
      </c>
      <c r="F272" s="191">
        <f t="shared" ref="F272:G272" si="105">SUM(F273:F274)</f>
        <v>0</v>
      </c>
      <c r="G272" s="191">
        <f t="shared" si="105"/>
        <v>769380400</v>
      </c>
      <c r="H272" s="236" t="e">
        <f>G272/D272</f>
        <v>#DIV/0!</v>
      </c>
      <c r="I272" s="225"/>
      <c r="J272" s="186"/>
    </row>
    <row r="273" spans="1:10" s="187" customFormat="1" x14ac:dyDescent="0.25">
      <c r="A273" s="188"/>
      <c r="B273" s="190"/>
      <c r="C273" s="193" t="s">
        <v>656</v>
      </c>
      <c r="D273" s="192">
        <v>0</v>
      </c>
      <c r="E273" s="192">
        <f>'Realisasi Maret'!G273</f>
        <v>769380400</v>
      </c>
      <c r="F273" s="192"/>
      <c r="G273" s="192">
        <f>E273+F273</f>
        <v>769380400</v>
      </c>
      <c r="H273" s="24" t="e">
        <f>G273/D273</f>
        <v>#DIV/0!</v>
      </c>
      <c r="I273" s="225"/>
      <c r="J273" s="186"/>
    </row>
    <row r="274" spans="1:10" s="187" customFormat="1" x14ac:dyDescent="0.25">
      <c r="A274" s="188"/>
      <c r="B274" s="190"/>
      <c r="C274" s="193" t="s">
        <v>657</v>
      </c>
      <c r="D274" s="192"/>
      <c r="E274" s="192">
        <f>'Realisasi Maret'!G274</f>
        <v>0</v>
      </c>
      <c r="F274" s="192"/>
      <c r="G274" s="192">
        <f>E274+F274</f>
        <v>0</v>
      </c>
      <c r="H274" s="24" t="e">
        <f>G274/D274</f>
        <v>#DIV/0!</v>
      </c>
      <c r="I274" s="225"/>
      <c r="J274" s="186"/>
    </row>
    <row r="275" spans="1:10" s="187" customFormat="1" x14ac:dyDescent="0.25">
      <c r="A275" s="188"/>
      <c r="B275" s="190"/>
      <c r="C275" s="193"/>
      <c r="D275" s="192"/>
      <c r="E275" s="192"/>
      <c r="F275" s="192"/>
      <c r="G275" s="192"/>
      <c r="H275" s="24"/>
      <c r="I275" s="225"/>
      <c r="J275" s="186"/>
    </row>
    <row r="276" spans="1:10" s="187" customFormat="1" x14ac:dyDescent="0.25">
      <c r="A276" s="188" t="s">
        <v>411</v>
      </c>
      <c r="B276" s="189" t="s">
        <v>362</v>
      </c>
      <c r="C276" s="185" t="s">
        <v>363</v>
      </c>
      <c r="D276" s="191">
        <v>1503616000</v>
      </c>
      <c r="E276" s="191">
        <f>E277</f>
        <v>300723200</v>
      </c>
      <c r="F276" s="191">
        <f>F277</f>
        <v>375904000</v>
      </c>
      <c r="G276" s="191">
        <f t="shared" ref="G276" si="106">SUM(G277:G278)</f>
        <v>676627200</v>
      </c>
      <c r="H276" s="236">
        <f>G276/D276</f>
        <v>0.45</v>
      </c>
      <c r="I276" s="225" t="s">
        <v>167</v>
      </c>
      <c r="J276" s="186"/>
    </row>
    <row r="277" spans="1:10" s="187" customFormat="1" x14ac:dyDescent="0.25">
      <c r="A277" s="188"/>
      <c r="B277" s="190"/>
      <c r="C277" s="193" t="s">
        <v>658</v>
      </c>
      <c r="D277" s="192"/>
      <c r="E277" s="192">
        <f>'Realisasi Maret'!G277</f>
        <v>300723200</v>
      </c>
      <c r="F277" s="192">
        <v>375904000</v>
      </c>
      <c r="G277" s="192">
        <f>E277+F277</f>
        <v>676627200</v>
      </c>
      <c r="H277" s="24" t="e">
        <f>G277/D277</f>
        <v>#DIV/0!</v>
      </c>
      <c r="I277" s="225"/>
      <c r="J277" s="186"/>
    </row>
    <row r="278" spans="1:10" s="187" customFormat="1" x14ac:dyDescent="0.25">
      <c r="A278" s="188"/>
      <c r="B278" s="190"/>
      <c r="C278" s="193" t="s">
        <v>659</v>
      </c>
      <c r="D278" s="192"/>
      <c r="E278" s="192">
        <f>'Realisasi Maret'!G278</f>
        <v>0</v>
      </c>
      <c r="F278" s="192"/>
      <c r="G278" s="192">
        <f>E278+F278</f>
        <v>0</v>
      </c>
      <c r="H278" s="24" t="e">
        <f>G278/D278</f>
        <v>#DIV/0!</v>
      </c>
      <c r="I278" s="225"/>
      <c r="J278" s="186"/>
    </row>
    <row r="279" spans="1:10" s="187" customFormat="1" x14ac:dyDescent="0.25">
      <c r="A279" s="188"/>
      <c r="B279" s="190"/>
      <c r="C279" s="193"/>
      <c r="D279" s="192"/>
      <c r="E279" s="192"/>
      <c r="F279" s="192"/>
      <c r="G279" s="192">
        <f t="shared" ref="G279" si="107">F279</f>
        <v>0</v>
      </c>
      <c r="H279" s="24"/>
      <c r="I279" s="225"/>
      <c r="J279" s="186"/>
    </row>
    <row r="280" spans="1:10" s="187" customFormat="1" x14ac:dyDescent="0.25">
      <c r="A280" s="188" t="s">
        <v>412</v>
      </c>
      <c r="B280" s="189" t="s">
        <v>364</v>
      </c>
      <c r="C280" s="185" t="s">
        <v>365</v>
      </c>
      <c r="D280" s="191">
        <v>8397488000</v>
      </c>
      <c r="E280" s="191">
        <f>SUM(E281:E282)</f>
        <v>1259623200</v>
      </c>
      <c r="F280" s="191">
        <f t="shared" ref="F280:G280" si="108">SUM(F281:F282)</f>
        <v>0</v>
      </c>
      <c r="G280" s="191">
        <f t="shared" si="108"/>
        <v>1259623200</v>
      </c>
      <c r="H280" s="236">
        <f>G280/D280</f>
        <v>0.15</v>
      </c>
      <c r="I280" s="225" t="s">
        <v>167</v>
      </c>
      <c r="J280" s="186"/>
    </row>
    <row r="281" spans="1:10" s="187" customFormat="1" x14ac:dyDescent="0.25">
      <c r="A281" s="188"/>
      <c r="B281" s="190"/>
      <c r="C281" s="193" t="s">
        <v>660</v>
      </c>
      <c r="D281" s="192"/>
      <c r="E281" s="192">
        <f>'Realisasi Maret'!G281</f>
        <v>1259623200</v>
      </c>
      <c r="F281" s="192"/>
      <c r="G281" s="192">
        <f>E281+F281</f>
        <v>1259623200</v>
      </c>
      <c r="H281" s="24" t="e">
        <f>G281/D281</f>
        <v>#DIV/0!</v>
      </c>
      <c r="I281" s="225"/>
      <c r="J281" s="186"/>
    </row>
    <row r="282" spans="1:10" s="187" customFormat="1" x14ac:dyDescent="0.25">
      <c r="A282" s="188"/>
      <c r="B282" s="190"/>
      <c r="C282" s="35" t="s">
        <v>529</v>
      </c>
      <c r="D282" s="191">
        <f>SUM(D283:D283)</f>
        <v>0</v>
      </c>
      <c r="E282" s="191"/>
      <c r="F282" s="191">
        <f>SUM(F283:F283)</f>
        <v>0</v>
      </c>
      <c r="G282" s="191">
        <f>SUM(G283:G283)</f>
        <v>0</v>
      </c>
      <c r="H282" s="236" t="e">
        <f>G282/D282</f>
        <v>#DIV/0!</v>
      </c>
      <c r="I282" s="225"/>
      <c r="J282" s="186"/>
    </row>
    <row r="283" spans="1:10" s="187" customFormat="1" x14ac:dyDescent="0.25">
      <c r="A283" s="188"/>
      <c r="B283" s="190"/>
      <c r="C283" s="193" t="s">
        <v>661</v>
      </c>
      <c r="D283" s="192"/>
      <c r="E283" s="192">
        <f>'Realisasi Maret'!G283</f>
        <v>0</v>
      </c>
      <c r="F283" s="192"/>
      <c r="G283" s="192">
        <f>F283</f>
        <v>0</v>
      </c>
      <c r="H283" s="24" t="e">
        <f>G283/D283</f>
        <v>#DIV/0!</v>
      </c>
      <c r="I283" s="225"/>
      <c r="J283" s="186"/>
    </row>
    <row r="284" spans="1:10" s="187" customFormat="1" x14ac:dyDescent="0.25">
      <c r="A284" s="188"/>
      <c r="B284" s="190"/>
      <c r="C284" s="193"/>
      <c r="D284" s="192"/>
      <c r="E284" s="192"/>
      <c r="F284" s="192"/>
      <c r="G284" s="192"/>
      <c r="H284" s="24"/>
      <c r="I284" s="225"/>
      <c r="J284" s="186"/>
    </row>
    <row r="285" spans="1:10" s="187" customFormat="1" hidden="1" x14ac:dyDescent="0.25">
      <c r="A285" s="188" t="s">
        <v>464</v>
      </c>
      <c r="B285" s="189" t="s">
        <v>466</v>
      </c>
      <c r="C285" s="185" t="s">
        <v>467</v>
      </c>
      <c r="D285" s="191">
        <f>SUM(D286)</f>
        <v>0</v>
      </c>
      <c r="E285" s="191"/>
      <c r="F285" s="191">
        <f t="shared" ref="F285:G285" si="109">SUM(F286:F287)</f>
        <v>0</v>
      </c>
      <c r="G285" s="191" t="e">
        <f t="shared" si="109"/>
        <v>#REF!</v>
      </c>
      <c r="H285" s="24"/>
      <c r="I285" s="225"/>
      <c r="J285" s="186"/>
    </row>
    <row r="286" spans="1:10" s="187" customFormat="1" hidden="1" x14ac:dyDescent="0.25">
      <c r="A286" s="188"/>
      <c r="B286" s="190"/>
      <c r="C286" s="193" t="s">
        <v>487</v>
      </c>
      <c r="D286" s="192">
        <v>0</v>
      </c>
      <c r="E286" s="192"/>
      <c r="F286" s="192">
        <v>0</v>
      </c>
      <c r="G286" s="192" t="e">
        <f>#REF!+F286</f>
        <v>#REF!</v>
      </c>
      <c r="H286" s="24"/>
      <c r="I286" s="225"/>
      <c r="J286" s="186"/>
    </row>
    <row r="287" spans="1:10" s="187" customFormat="1" hidden="1" x14ac:dyDescent="0.25">
      <c r="A287" s="188"/>
      <c r="B287" s="190"/>
      <c r="C287" s="193"/>
      <c r="D287" s="192"/>
      <c r="E287" s="192"/>
      <c r="F287" s="192"/>
      <c r="G287" s="192"/>
      <c r="H287" s="24"/>
      <c r="I287" s="225"/>
      <c r="J287" s="186"/>
    </row>
    <row r="288" spans="1:10" s="187" customFormat="1" x14ac:dyDescent="0.25">
      <c r="A288" s="188" t="s">
        <v>465</v>
      </c>
      <c r="B288" s="189" t="s">
        <v>366</v>
      </c>
      <c r="C288" s="185" t="s">
        <v>367</v>
      </c>
      <c r="D288" s="191">
        <v>1918826000</v>
      </c>
      <c r="E288" s="191">
        <f>SUM(E289:E290)</f>
        <v>287823900</v>
      </c>
      <c r="F288" s="191">
        <f t="shared" ref="F288:G288" si="110">SUM(F289:F290)</f>
        <v>287823900</v>
      </c>
      <c r="G288" s="191">
        <f t="shared" si="110"/>
        <v>575647800</v>
      </c>
      <c r="H288" s="236">
        <f>G288/D288</f>
        <v>0.3</v>
      </c>
      <c r="I288" s="225" t="s">
        <v>167</v>
      </c>
      <c r="J288" s="186"/>
    </row>
    <row r="289" spans="1:10" s="187" customFormat="1" x14ac:dyDescent="0.25">
      <c r="A289" s="188"/>
      <c r="B289" s="190"/>
      <c r="C289" s="193" t="s">
        <v>662</v>
      </c>
      <c r="D289" s="192"/>
      <c r="E289" s="192">
        <f>'Realisasi Maret'!G289</f>
        <v>287823900</v>
      </c>
      <c r="F289" s="192">
        <v>287823900</v>
      </c>
      <c r="G289" s="192">
        <f>E289+F289</f>
        <v>575647800</v>
      </c>
      <c r="H289" s="24" t="e">
        <f>G289/D289</f>
        <v>#DIV/0!</v>
      </c>
      <c r="I289" s="225"/>
      <c r="J289" s="186"/>
    </row>
    <row r="290" spans="1:10" s="187" customFormat="1" x14ac:dyDescent="0.25">
      <c r="A290" s="188"/>
      <c r="B290" s="190"/>
      <c r="C290" s="35" t="s">
        <v>530</v>
      </c>
      <c r="D290" s="191">
        <f>SUM(D291:D291)</f>
        <v>0</v>
      </c>
      <c r="E290" s="191"/>
      <c r="F290" s="191">
        <f>SUM(F291:F291)</f>
        <v>0</v>
      </c>
      <c r="G290" s="191">
        <f>SUM(G291:G291)</f>
        <v>0</v>
      </c>
      <c r="H290" s="236" t="e">
        <f>G290/D290</f>
        <v>#DIV/0!</v>
      </c>
      <c r="I290" s="225"/>
      <c r="J290" s="186"/>
    </row>
    <row r="291" spans="1:10" s="187" customFormat="1" x14ac:dyDescent="0.25">
      <c r="A291" s="188"/>
      <c r="B291" s="190"/>
      <c r="C291" s="193" t="s">
        <v>663</v>
      </c>
      <c r="D291" s="192"/>
      <c r="E291" s="192">
        <f>'Realisasi Maret'!G291</f>
        <v>0</v>
      </c>
      <c r="F291" s="192"/>
      <c r="G291" s="192">
        <f>E291+F291</f>
        <v>0</v>
      </c>
      <c r="H291" s="24" t="e">
        <f>G291/D291</f>
        <v>#DIV/0!</v>
      </c>
      <c r="I291" s="225"/>
      <c r="J291" s="186"/>
    </row>
    <row r="292" spans="1:10" s="176" customFormat="1" x14ac:dyDescent="0.25">
      <c r="A292" s="27"/>
      <c r="B292" s="178"/>
      <c r="C292" s="183"/>
      <c r="D292" s="192"/>
      <c r="E292" s="192"/>
      <c r="F292" s="192"/>
      <c r="G292" s="191"/>
      <c r="H292" s="236"/>
      <c r="I292" s="224"/>
      <c r="J292" s="175"/>
    </row>
    <row r="293" spans="1:10" s="176" customFormat="1" x14ac:dyDescent="0.25">
      <c r="A293" s="138" t="s">
        <v>169</v>
      </c>
      <c r="B293" s="139" t="s">
        <v>368</v>
      </c>
      <c r="C293" s="140" t="s">
        <v>369</v>
      </c>
      <c r="D293" s="142">
        <v>429554051000</v>
      </c>
      <c r="E293" s="142">
        <f>'Realisasi Maret'!G293</f>
        <v>142200880000</v>
      </c>
      <c r="F293" s="142">
        <v>34968176138</v>
      </c>
      <c r="G293" s="141">
        <f>E293+F293</f>
        <v>177169056138</v>
      </c>
      <c r="H293" s="240">
        <f>G293/D293</f>
        <v>0.41244880760768332</v>
      </c>
      <c r="I293" s="225" t="s">
        <v>468</v>
      </c>
      <c r="J293" s="175"/>
    </row>
    <row r="294" spans="1:10" s="176" customFormat="1" x14ac:dyDescent="0.25">
      <c r="A294" s="27"/>
      <c r="B294" s="178"/>
      <c r="C294" s="39"/>
      <c r="D294" s="38"/>
      <c r="E294" s="38"/>
      <c r="F294" s="38"/>
      <c r="G294" s="38"/>
      <c r="H294" s="241"/>
      <c r="I294" s="225"/>
      <c r="J294" s="175"/>
    </row>
    <row r="295" spans="1:10" s="176" customFormat="1" x14ac:dyDescent="0.25">
      <c r="A295" s="138" t="s">
        <v>170</v>
      </c>
      <c r="B295" s="139" t="s">
        <v>370</v>
      </c>
      <c r="C295" s="140" t="s">
        <v>371</v>
      </c>
      <c r="D295" s="141">
        <f>SUM(D297+D348+D325)</f>
        <v>7340205000</v>
      </c>
      <c r="E295" s="141">
        <f t="shared" ref="E295:G295" si="111">SUM(E297+E348+E325)</f>
        <v>0</v>
      </c>
      <c r="F295" s="141">
        <f t="shared" si="111"/>
        <v>0</v>
      </c>
      <c r="G295" s="141">
        <f t="shared" si="111"/>
        <v>0</v>
      </c>
      <c r="H295" s="240">
        <f>G295/D295</f>
        <v>0</v>
      </c>
      <c r="I295" s="225" t="s">
        <v>469</v>
      </c>
      <c r="J295" s="175"/>
    </row>
    <row r="296" spans="1:10" s="176" customFormat="1" x14ac:dyDescent="0.25">
      <c r="A296" s="40"/>
      <c r="B296" s="22"/>
      <c r="C296" s="185"/>
      <c r="D296" s="191"/>
      <c r="E296" s="191"/>
      <c r="F296" s="191"/>
      <c r="G296" s="191"/>
      <c r="H296" s="236"/>
      <c r="I296" s="224"/>
      <c r="J296" s="175"/>
    </row>
    <row r="297" spans="1:10" s="176" customFormat="1" ht="38.25" customHeight="1" x14ac:dyDescent="0.25">
      <c r="A297" s="293"/>
      <c r="B297" s="262" t="s">
        <v>413</v>
      </c>
      <c r="C297" s="41" t="s">
        <v>171</v>
      </c>
      <c r="D297" s="42">
        <f>SUM(D303+D309+D311+D313+D315+D317+D319+D298+D322)</f>
        <v>7340205000</v>
      </c>
      <c r="E297" s="42">
        <f t="shared" ref="E297:F297" si="112">SUM(E303+E309+E311+E313+E315+E317+E319+E298+E322)</f>
        <v>0</v>
      </c>
      <c r="F297" s="42">
        <f t="shared" si="112"/>
        <v>0</v>
      </c>
      <c r="G297" s="42">
        <f>G298+G303+G313+G315+G319+G322</f>
        <v>0</v>
      </c>
      <c r="H297" s="237">
        <f t="shared" ref="H297:H308" si="113">G297/D297</f>
        <v>0</v>
      </c>
      <c r="I297" s="225" t="s">
        <v>470</v>
      </c>
      <c r="J297" s="175"/>
    </row>
    <row r="298" spans="1:10" s="176" customFormat="1" x14ac:dyDescent="0.25">
      <c r="A298" s="40"/>
      <c r="B298" s="43">
        <v>1</v>
      </c>
      <c r="C298" s="185" t="s">
        <v>172</v>
      </c>
      <c r="D298" s="191">
        <f>SUM(D299:D302)</f>
        <v>0</v>
      </c>
      <c r="E298" s="191">
        <f t="shared" ref="E298:G298" si="114">SUM(E299:E302)</f>
        <v>0</v>
      </c>
      <c r="F298" s="191">
        <f t="shared" si="114"/>
        <v>0</v>
      </c>
      <c r="G298" s="191">
        <f t="shared" si="114"/>
        <v>0</v>
      </c>
      <c r="H298" s="236" t="e">
        <f t="shared" si="113"/>
        <v>#DIV/0!</v>
      </c>
      <c r="I298" s="225"/>
      <c r="J298" s="175"/>
    </row>
    <row r="299" spans="1:10" s="176" customFormat="1" x14ac:dyDescent="0.25">
      <c r="A299" s="40"/>
      <c r="B299" s="190" t="s">
        <v>531</v>
      </c>
      <c r="C299" s="193" t="s">
        <v>173</v>
      </c>
      <c r="D299" s="192"/>
      <c r="E299" s="192">
        <f>'Realisasi Maret'!G299</f>
        <v>0</v>
      </c>
      <c r="F299" s="192">
        <v>0</v>
      </c>
      <c r="G299" s="192">
        <f>E299+F299</f>
        <v>0</v>
      </c>
      <c r="H299" s="24" t="e">
        <f t="shared" si="113"/>
        <v>#DIV/0!</v>
      </c>
      <c r="I299" s="225" t="s">
        <v>471</v>
      </c>
      <c r="J299" s="175"/>
    </row>
    <row r="300" spans="1:10" s="176" customFormat="1" x14ac:dyDescent="0.25">
      <c r="A300" s="40"/>
      <c r="B300" s="190" t="s">
        <v>532</v>
      </c>
      <c r="C300" s="193" t="s">
        <v>174</v>
      </c>
      <c r="D300" s="192"/>
      <c r="E300" s="192">
        <f>'Realisasi Maret'!G300</f>
        <v>0</v>
      </c>
      <c r="F300" s="192"/>
      <c r="G300" s="192">
        <f t="shared" ref="G300:G302" si="115">E300+F300</f>
        <v>0</v>
      </c>
      <c r="H300" s="24" t="e">
        <f t="shared" si="113"/>
        <v>#DIV/0!</v>
      </c>
      <c r="I300" s="225" t="s">
        <v>471</v>
      </c>
      <c r="J300" s="175"/>
    </row>
    <row r="301" spans="1:10" s="176" customFormat="1" x14ac:dyDescent="0.25">
      <c r="A301" s="40"/>
      <c r="B301" s="190" t="s">
        <v>533</v>
      </c>
      <c r="C301" s="193" t="s">
        <v>175</v>
      </c>
      <c r="D301" s="192"/>
      <c r="E301" s="192">
        <f>'Realisasi Maret'!G301</f>
        <v>0</v>
      </c>
      <c r="F301" s="192"/>
      <c r="G301" s="192">
        <f t="shared" si="115"/>
        <v>0</v>
      </c>
      <c r="H301" s="24" t="e">
        <f t="shared" si="113"/>
        <v>#DIV/0!</v>
      </c>
      <c r="I301" s="225" t="s">
        <v>471</v>
      </c>
      <c r="J301" s="175"/>
    </row>
    <row r="302" spans="1:10" s="176" customFormat="1" x14ac:dyDescent="0.25">
      <c r="A302" s="40"/>
      <c r="B302" s="190" t="s">
        <v>534</v>
      </c>
      <c r="C302" s="193" t="s">
        <v>176</v>
      </c>
      <c r="D302" s="192"/>
      <c r="E302" s="192">
        <f>'Realisasi Maret'!G302</f>
        <v>0</v>
      </c>
      <c r="F302" s="192"/>
      <c r="G302" s="192">
        <f t="shared" si="115"/>
        <v>0</v>
      </c>
      <c r="H302" s="24" t="e">
        <f t="shared" si="113"/>
        <v>#DIV/0!</v>
      </c>
      <c r="I302" s="225" t="s">
        <v>471</v>
      </c>
      <c r="J302" s="175"/>
    </row>
    <row r="303" spans="1:10" s="176" customFormat="1" x14ac:dyDescent="0.25">
      <c r="A303" s="40"/>
      <c r="B303" s="43">
        <v>2</v>
      </c>
      <c r="C303" s="185" t="s">
        <v>177</v>
      </c>
      <c r="D303" s="191">
        <f>SUM(D304:D308)</f>
        <v>0</v>
      </c>
      <c r="E303" s="191">
        <f t="shared" ref="E303:G303" si="116">SUM(E304:E308)</f>
        <v>0</v>
      </c>
      <c r="F303" s="191">
        <f t="shared" si="116"/>
        <v>0</v>
      </c>
      <c r="G303" s="191">
        <f t="shared" si="116"/>
        <v>0</v>
      </c>
      <c r="H303" s="236" t="e">
        <f t="shared" si="113"/>
        <v>#DIV/0!</v>
      </c>
      <c r="I303" s="225"/>
      <c r="J303" s="175"/>
    </row>
    <row r="304" spans="1:10" s="176" customFormat="1" x14ac:dyDescent="0.25">
      <c r="A304" s="40"/>
      <c r="B304" s="190" t="s">
        <v>535</v>
      </c>
      <c r="C304" s="193" t="s">
        <v>178</v>
      </c>
      <c r="D304" s="192"/>
      <c r="E304" s="192"/>
      <c r="F304" s="192"/>
      <c r="G304" s="192">
        <f>E304+F304</f>
        <v>0</v>
      </c>
      <c r="H304" s="24" t="e">
        <f t="shared" si="113"/>
        <v>#DIV/0!</v>
      </c>
      <c r="I304" s="225" t="s">
        <v>471</v>
      </c>
      <c r="J304" s="175"/>
    </row>
    <row r="305" spans="1:10" s="176" customFormat="1" x14ac:dyDescent="0.25">
      <c r="A305" s="40"/>
      <c r="B305" s="190" t="s">
        <v>536</v>
      </c>
      <c r="C305" s="193" t="s">
        <v>372</v>
      </c>
      <c r="D305" s="192"/>
      <c r="E305" s="192"/>
      <c r="F305" s="192"/>
      <c r="G305" s="192">
        <f t="shared" ref="G305:G316" si="117">E305+F305</f>
        <v>0</v>
      </c>
      <c r="H305" s="24" t="e">
        <f t="shared" si="113"/>
        <v>#DIV/0!</v>
      </c>
      <c r="I305" s="225" t="s">
        <v>471</v>
      </c>
      <c r="J305" s="175"/>
    </row>
    <row r="306" spans="1:10" s="176" customFormat="1" x14ac:dyDescent="0.25">
      <c r="A306" s="40"/>
      <c r="B306" s="190" t="s">
        <v>537</v>
      </c>
      <c r="C306" s="193" t="s">
        <v>179</v>
      </c>
      <c r="D306" s="192"/>
      <c r="E306" s="192"/>
      <c r="F306" s="192"/>
      <c r="G306" s="192">
        <f t="shared" si="117"/>
        <v>0</v>
      </c>
      <c r="H306" s="24" t="e">
        <f t="shared" si="113"/>
        <v>#DIV/0!</v>
      </c>
      <c r="I306" s="225" t="s">
        <v>471</v>
      </c>
      <c r="J306" s="175"/>
    </row>
    <row r="307" spans="1:10" s="176" customFormat="1" x14ac:dyDescent="0.25">
      <c r="A307" s="40"/>
      <c r="B307" s="190" t="s">
        <v>538</v>
      </c>
      <c r="C307" s="193" t="s">
        <v>180</v>
      </c>
      <c r="D307" s="192"/>
      <c r="E307" s="192"/>
      <c r="F307" s="192"/>
      <c r="G307" s="192">
        <f t="shared" si="117"/>
        <v>0</v>
      </c>
      <c r="H307" s="24" t="e">
        <f t="shared" si="113"/>
        <v>#DIV/0!</v>
      </c>
      <c r="I307" s="225" t="s">
        <v>471</v>
      </c>
      <c r="J307" s="175"/>
    </row>
    <row r="308" spans="1:10" s="176" customFormat="1" x14ac:dyDescent="0.25">
      <c r="A308" s="40"/>
      <c r="B308" s="190" t="s">
        <v>373</v>
      </c>
      <c r="C308" s="193" t="s">
        <v>181</v>
      </c>
      <c r="D308" s="192"/>
      <c r="E308" s="192"/>
      <c r="F308" s="192"/>
      <c r="G308" s="192">
        <f t="shared" si="117"/>
        <v>0</v>
      </c>
      <c r="H308" s="24" t="e">
        <f t="shared" si="113"/>
        <v>#DIV/0!</v>
      </c>
      <c r="I308" s="225" t="s">
        <v>471</v>
      </c>
      <c r="J308" s="175"/>
    </row>
    <row r="309" spans="1:10" s="176" customFormat="1" hidden="1" x14ac:dyDescent="0.25">
      <c r="A309" s="40"/>
      <c r="B309" s="43">
        <v>3</v>
      </c>
      <c r="C309" s="185" t="s">
        <v>182</v>
      </c>
      <c r="D309" s="191">
        <f>SUM(D310:D310)</f>
        <v>0</v>
      </c>
      <c r="E309" s="191"/>
      <c r="F309" s="191"/>
      <c r="G309" s="192">
        <f t="shared" si="117"/>
        <v>0</v>
      </c>
      <c r="H309" s="236">
        <v>0</v>
      </c>
      <c r="I309" s="224"/>
      <c r="J309" s="175"/>
    </row>
    <row r="310" spans="1:10" s="176" customFormat="1" hidden="1" x14ac:dyDescent="0.25">
      <c r="A310" s="40"/>
      <c r="B310" s="44"/>
      <c r="C310" s="193" t="s">
        <v>183</v>
      </c>
      <c r="D310" s="192">
        <v>0</v>
      </c>
      <c r="E310" s="192"/>
      <c r="F310" s="192"/>
      <c r="G310" s="192">
        <f t="shared" si="117"/>
        <v>0</v>
      </c>
      <c r="H310" s="24">
        <v>0</v>
      </c>
      <c r="I310" s="223"/>
      <c r="J310" s="175"/>
    </row>
    <row r="311" spans="1:10" s="176" customFormat="1" hidden="1" x14ac:dyDescent="0.25">
      <c r="A311" s="40"/>
      <c r="B311" s="43">
        <v>4</v>
      </c>
      <c r="C311" s="185" t="s">
        <v>184</v>
      </c>
      <c r="D311" s="191">
        <f>SUM(D312:D312)</f>
        <v>0</v>
      </c>
      <c r="E311" s="191"/>
      <c r="F311" s="191"/>
      <c r="G311" s="192">
        <f t="shared" si="117"/>
        <v>0</v>
      </c>
      <c r="H311" s="236">
        <v>0</v>
      </c>
      <c r="I311" s="223"/>
      <c r="J311" s="175"/>
    </row>
    <row r="312" spans="1:10" s="176" customFormat="1" hidden="1" x14ac:dyDescent="0.25">
      <c r="A312" s="40"/>
      <c r="B312" s="44"/>
      <c r="C312" s="193" t="s">
        <v>185</v>
      </c>
      <c r="D312" s="192">
        <v>0</v>
      </c>
      <c r="E312" s="192"/>
      <c r="F312" s="192"/>
      <c r="G312" s="192">
        <f t="shared" si="117"/>
        <v>0</v>
      </c>
      <c r="H312" s="24">
        <v>0</v>
      </c>
      <c r="I312" s="223"/>
      <c r="J312" s="175"/>
    </row>
    <row r="313" spans="1:10" s="176" customFormat="1" x14ac:dyDescent="0.25">
      <c r="A313" s="40"/>
      <c r="B313" s="43">
        <v>3</v>
      </c>
      <c r="C313" s="35" t="s">
        <v>186</v>
      </c>
      <c r="D313" s="191">
        <f>SUM(D314:D314)</f>
        <v>0</v>
      </c>
      <c r="E313" s="191">
        <f t="shared" ref="E313:G313" si="118">SUM(E314:E314)</f>
        <v>0</v>
      </c>
      <c r="F313" s="191">
        <f t="shared" si="118"/>
        <v>0</v>
      </c>
      <c r="G313" s="191">
        <f t="shared" si="118"/>
        <v>0</v>
      </c>
      <c r="H313" s="236"/>
      <c r="I313" s="223"/>
      <c r="J313" s="175"/>
    </row>
    <row r="314" spans="1:10" s="176" customFormat="1" x14ac:dyDescent="0.25">
      <c r="A314" s="40"/>
      <c r="B314" s="190" t="s">
        <v>374</v>
      </c>
      <c r="C314" s="193" t="s">
        <v>187</v>
      </c>
      <c r="D314" s="192">
        <v>0</v>
      </c>
      <c r="E314" s="192"/>
      <c r="F314" s="192"/>
      <c r="G314" s="192">
        <f t="shared" si="117"/>
        <v>0</v>
      </c>
      <c r="H314" s="24"/>
      <c r="I314" s="225"/>
      <c r="J314" s="175"/>
    </row>
    <row r="315" spans="1:10" s="176" customFormat="1" x14ac:dyDescent="0.25">
      <c r="A315" s="40"/>
      <c r="B315" s="43">
        <v>4</v>
      </c>
      <c r="C315" s="185" t="s">
        <v>188</v>
      </c>
      <c r="D315" s="191">
        <f>SUM(D316)</f>
        <v>0</v>
      </c>
      <c r="E315" s="191">
        <f t="shared" ref="E315:G315" si="119">SUM(E316)</f>
        <v>0</v>
      </c>
      <c r="F315" s="191">
        <f t="shared" si="119"/>
        <v>0</v>
      </c>
      <c r="G315" s="191">
        <f t="shared" si="119"/>
        <v>0</v>
      </c>
      <c r="H315" s="236"/>
      <c r="I315" s="223"/>
      <c r="J315" s="175"/>
    </row>
    <row r="316" spans="1:10" s="176" customFormat="1" x14ac:dyDescent="0.25">
      <c r="A316" s="40"/>
      <c r="B316" s="190" t="s">
        <v>375</v>
      </c>
      <c r="C316" s="193" t="s">
        <v>189</v>
      </c>
      <c r="D316" s="192">
        <v>0</v>
      </c>
      <c r="E316" s="192"/>
      <c r="F316" s="192"/>
      <c r="G316" s="192">
        <f t="shared" si="117"/>
        <v>0</v>
      </c>
      <c r="H316" s="24"/>
      <c r="I316" s="225"/>
      <c r="J316" s="175"/>
    </row>
    <row r="317" spans="1:10" s="176" customFormat="1" hidden="1" x14ac:dyDescent="0.25">
      <c r="A317" s="40"/>
      <c r="B317" s="43">
        <v>5</v>
      </c>
      <c r="C317" s="185" t="s">
        <v>190</v>
      </c>
      <c r="D317" s="191">
        <f>SUM(D318)</f>
        <v>0</v>
      </c>
      <c r="E317" s="191"/>
      <c r="F317" s="191">
        <f>SUM(F318)</f>
        <v>0</v>
      </c>
      <c r="G317" s="192" t="e">
        <f>#REF!+F317</f>
        <v>#REF!</v>
      </c>
      <c r="H317" s="236">
        <v>0</v>
      </c>
      <c r="I317" s="224"/>
      <c r="J317" s="175"/>
    </row>
    <row r="318" spans="1:10" s="176" customFormat="1" hidden="1" x14ac:dyDescent="0.25">
      <c r="A318" s="40"/>
      <c r="B318" s="44"/>
      <c r="C318" s="193" t="s">
        <v>191</v>
      </c>
      <c r="D318" s="192">
        <v>0</v>
      </c>
      <c r="E318" s="192"/>
      <c r="F318" s="192">
        <v>0</v>
      </c>
      <c r="G318" s="192" t="e">
        <f>#REF!+F318</f>
        <v>#REF!</v>
      </c>
      <c r="H318" s="24">
        <v>0</v>
      </c>
      <c r="I318" s="223"/>
      <c r="J318" s="175"/>
    </row>
    <row r="319" spans="1:10" s="176" customFormat="1" x14ac:dyDescent="0.25">
      <c r="A319" s="40"/>
      <c r="B319" s="43">
        <v>5</v>
      </c>
      <c r="C319" s="185" t="s">
        <v>192</v>
      </c>
      <c r="D319" s="191">
        <f>SUM(D320:D321)</f>
        <v>0</v>
      </c>
      <c r="E319" s="191">
        <f t="shared" ref="E319:G319" si="120">SUM(E320:E321)</f>
        <v>0</v>
      </c>
      <c r="F319" s="191">
        <f t="shared" si="120"/>
        <v>0</v>
      </c>
      <c r="G319" s="191">
        <f t="shared" si="120"/>
        <v>0</v>
      </c>
      <c r="H319" s="236" t="e">
        <f>G319/D319</f>
        <v>#DIV/0!</v>
      </c>
      <c r="I319" s="223"/>
      <c r="J319" s="175"/>
    </row>
    <row r="320" spans="1:10" s="176" customFormat="1" x14ac:dyDescent="0.25">
      <c r="A320" s="40"/>
      <c r="B320" s="190" t="s">
        <v>539</v>
      </c>
      <c r="C320" s="193" t="s">
        <v>193</v>
      </c>
      <c r="D320" s="192"/>
      <c r="E320" s="192"/>
      <c r="F320" s="192"/>
      <c r="G320" s="192">
        <f>E320+F320</f>
        <v>0</v>
      </c>
      <c r="H320" s="24" t="e">
        <f>G320/D320</f>
        <v>#DIV/0!</v>
      </c>
      <c r="I320" s="225" t="s">
        <v>470</v>
      </c>
      <c r="J320" s="175"/>
    </row>
    <row r="321" spans="1:10" s="176" customFormat="1" x14ac:dyDescent="0.25">
      <c r="A321" s="40"/>
      <c r="B321" s="190" t="s">
        <v>540</v>
      </c>
      <c r="C321" s="193" t="s">
        <v>194</v>
      </c>
      <c r="D321" s="192"/>
      <c r="E321" s="192"/>
      <c r="F321" s="192"/>
      <c r="G321" s="192">
        <f>E321+F321</f>
        <v>0</v>
      </c>
      <c r="H321" s="24" t="e">
        <f>G321/D321</f>
        <v>#DIV/0!</v>
      </c>
      <c r="I321" s="225" t="s">
        <v>470</v>
      </c>
      <c r="J321" s="175"/>
    </row>
    <row r="322" spans="1:10" s="176" customFormat="1" x14ac:dyDescent="0.25">
      <c r="A322" s="40"/>
      <c r="B322" s="43">
        <v>6</v>
      </c>
      <c r="C322" s="170" t="s">
        <v>206</v>
      </c>
      <c r="D322" s="191">
        <f>D323</f>
        <v>7340205000</v>
      </c>
      <c r="E322" s="191">
        <f t="shared" ref="E322:G322" si="121">E323</f>
        <v>0</v>
      </c>
      <c r="F322" s="191">
        <f t="shared" si="121"/>
        <v>0</v>
      </c>
      <c r="G322" s="191">
        <f t="shared" si="121"/>
        <v>0</v>
      </c>
      <c r="H322" s="236">
        <f>G322/D322</f>
        <v>0</v>
      </c>
      <c r="I322" s="225"/>
      <c r="J322" s="175"/>
    </row>
    <row r="323" spans="1:10" s="176" customFormat="1" x14ac:dyDescent="0.25">
      <c r="A323" s="40"/>
      <c r="B323" s="190"/>
      <c r="C323" s="48" t="s">
        <v>210</v>
      </c>
      <c r="D323" s="192">
        <v>7340205000</v>
      </c>
      <c r="E323" s="192"/>
      <c r="F323" s="192"/>
      <c r="G323" s="192"/>
      <c r="H323" s="24">
        <f>G323/D323</f>
        <v>0</v>
      </c>
      <c r="I323" s="225"/>
      <c r="J323" s="175"/>
    </row>
    <row r="324" spans="1:10" s="176" customFormat="1" x14ac:dyDescent="0.25">
      <c r="A324" s="40"/>
      <c r="B324" s="178"/>
      <c r="C324" s="183"/>
      <c r="D324" s="192"/>
      <c r="E324" s="192"/>
      <c r="F324" s="192"/>
      <c r="G324" s="191"/>
      <c r="H324" s="236"/>
      <c r="I324" s="224"/>
      <c r="J324" s="175"/>
    </row>
    <row r="325" spans="1:10" s="176" customFormat="1" ht="37.5" hidden="1" customHeight="1" x14ac:dyDescent="0.25">
      <c r="A325" s="293"/>
      <c r="B325" s="262" t="s">
        <v>414</v>
      </c>
      <c r="C325" s="45" t="s">
        <v>195</v>
      </c>
      <c r="D325" s="42">
        <f>SUM(D326+D335+D337+D339+D341+D343+D345)</f>
        <v>0</v>
      </c>
      <c r="E325" s="42"/>
      <c r="F325" s="42">
        <f t="shared" ref="F325:G325" si="122">SUM(F326+F335+F337+F339+F341+F343+F345)</f>
        <v>0</v>
      </c>
      <c r="G325" s="42">
        <f t="shared" si="122"/>
        <v>0</v>
      </c>
      <c r="H325" s="237" t="e">
        <f>G325/D325</f>
        <v>#DIV/0!</v>
      </c>
      <c r="I325" s="225" t="s">
        <v>469</v>
      </c>
      <c r="J325" s="175"/>
    </row>
    <row r="326" spans="1:10" s="176" customFormat="1" hidden="1" x14ac:dyDescent="0.25">
      <c r="A326" s="40"/>
      <c r="B326" s="43">
        <v>1</v>
      </c>
      <c r="C326" s="185" t="s">
        <v>177</v>
      </c>
      <c r="D326" s="191">
        <f>SUM(D328:D333)</f>
        <v>0</v>
      </c>
      <c r="E326" s="191">
        <f t="shared" ref="E326:G326" si="123">SUM(E328:E333)</f>
        <v>0</v>
      </c>
      <c r="F326" s="191">
        <f t="shared" si="123"/>
        <v>0</v>
      </c>
      <c r="G326" s="191">
        <f t="shared" si="123"/>
        <v>0</v>
      </c>
      <c r="H326" s="236" t="e">
        <f>G326/D326</f>
        <v>#DIV/0!</v>
      </c>
      <c r="I326" s="225"/>
      <c r="J326" s="175"/>
    </row>
    <row r="327" spans="1:10" s="176" customFormat="1" hidden="1" x14ac:dyDescent="0.25">
      <c r="A327" s="40"/>
      <c r="B327" s="44"/>
      <c r="C327" s="193" t="s">
        <v>196</v>
      </c>
      <c r="D327" s="192">
        <v>0</v>
      </c>
      <c r="E327" s="192"/>
      <c r="F327" s="192">
        <v>0</v>
      </c>
      <c r="G327" s="191" t="e">
        <f>#REF!+F327</f>
        <v>#REF!</v>
      </c>
      <c r="H327" s="24">
        <v>0</v>
      </c>
      <c r="I327" s="223"/>
      <c r="J327" s="175"/>
    </row>
    <row r="328" spans="1:10" s="176" customFormat="1" hidden="1" x14ac:dyDescent="0.25">
      <c r="A328" s="40"/>
      <c r="B328" s="190" t="s">
        <v>388</v>
      </c>
      <c r="C328" s="193" t="s">
        <v>197</v>
      </c>
      <c r="D328" s="192">
        <v>0</v>
      </c>
      <c r="E328" s="192"/>
      <c r="F328" s="192"/>
      <c r="G328" s="192">
        <f>E328+F328</f>
        <v>0</v>
      </c>
      <c r="H328" s="24"/>
      <c r="I328" s="225"/>
      <c r="J328" s="175"/>
    </row>
    <row r="329" spans="1:10" s="176" customFormat="1" ht="18" hidden="1" customHeight="1" x14ac:dyDescent="0.25">
      <c r="A329" s="40"/>
      <c r="B329" s="44"/>
      <c r="C329" s="193" t="s">
        <v>198</v>
      </c>
      <c r="D329" s="192"/>
      <c r="E329" s="192"/>
      <c r="F329" s="192"/>
      <c r="G329" s="192">
        <f t="shared" ref="G329:G333" si="124">E329+F329</f>
        <v>0</v>
      </c>
      <c r="H329" s="24"/>
      <c r="I329" s="223"/>
      <c r="J329" s="175"/>
    </row>
    <row r="330" spans="1:10" s="176" customFormat="1" hidden="1" x14ac:dyDescent="0.25">
      <c r="A330" s="40"/>
      <c r="B330" s="190" t="s">
        <v>389</v>
      </c>
      <c r="C330" s="193" t="s">
        <v>199</v>
      </c>
      <c r="D330" s="192">
        <v>0</v>
      </c>
      <c r="E330" s="192"/>
      <c r="F330" s="192"/>
      <c r="G330" s="192">
        <f t="shared" si="124"/>
        <v>0</v>
      </c>
      <c r="H330" s="24"/>
      <c r="I330" s="225"/>
      <c r="J330" s="175"/>
    </row>
    <row r="331" spans="1:10" s="176" customFormat="1" hidden="1" x14ac:dyDescent="0.25">
      <c r="A331" s="40"/>
      <c r="B331" s="44"/>
      <c r="C331" s="193" t="s">
        <v>200</v>
      </c>
      <c r="D331" s="192">
        <v>0</v>
      </c>
      <c r="E331" s="192"/>
      <c r="F331" s="192"/>
      <c r="G331" s="192">
        <f t="shared" si="124"/>
        <v>0</v>
      </c>
      <c r="H331" s="24">
        <v>0</v>
      </c>
      <c r="I331" s="223"/>
      <c r="J331" s="175"/>
    </row>
    <row r="332" spans="1:10" s="176" customFormat="1" hidden="1" x14ac:dyDescent="0.25">
      <c r="A332" s="40"/>
      <c r="B332" s="44"/>
      <c r="C332" s="193" t="s">
        <v>201</v>
      </c>
      <c r="D332" s="192">
        <v>0</v>
      </c>
      <c r="E332" s="192"/>
      <c r="F332" s="192"/>
      <c r="G332" s="192">
        <f t="shared" si="124"/>
        <v>0</v>
      </c>
      <c r="H332" s="24"/>
      <c r="I332" s="225"/>
      <c r="J332" s="175"/>
    </row>
    <row r="333" spans="1:10" s="176" customFormat="1" hidden="1" x14ac:dyDescent="0.25">
      <c r="A333" s="40"/>
      <c r="B333" s="190" t="s">
        <v>541</v>
      </c>
      <c r="C333" s="193" t="s">
        <v>390</v>
      </c>
      <c r="D333" s="192"/>
      <c r="E333" s="192"/>
      <c r="F333" s="192"/>
      <c r="G333" s="192">
        <f t="shared" si="124"/>
        <v>0</v>
      </c>
      <c r="H333" s="24" t="e">
        <f>G333/D333</f>
        <v>#DIV/0!</v>
      </c>
      <c r="I333" s="225" t="s">
        <v>470</v>
      </c>
      <c r="J333" s="175"/>
    </row>
    <row r="334" spans="1:10" s="176" customFormat="1" hidden="1" x14ac:dyDescent="0.25">
      <c r="A334" s="40"/>
      <c r="B334" s="44"/>
      <c r="C334" s="183"/>
      <c r="D334" s="192"/>
      <c r="E334" s="192"/>
      <c r="F334" s="192"/>
      <c r="G334" s="191"/>
      <c r="H334" s="24"/>
      <c r="I334" s="223"/>
      <c r="J334" s="175"/>
    </row>
    <row r="335" spans="1:10" s="176" customFormat="1" hidden="1" x14ac:dyDescent="0.25">
      <c r="A335" s="40"/>
      <c r="B335" s="43">
        <v>2</v>
      </c>
      <c r="C335" s="185" t="s">
        <v>202</v>
      </c>
      <c r="D335" s="191">
        <f>SUM(D336:D336)</f>
        <v>0</v>
      </c>
      <c r="E335" s="191"/>
      <c r="F335" s="191">
        <f t="shared" ref="F335:G335" si="125">SUM(F336:F336)</f>
        <v>0</v>
      </c>
      <c r="G335" s="191">
        <f t="shared" si="125"/>
        <v>0</v>
      </c>
      <c r="H335" s="236" t="e">
        <f t="shared" ref="H335:H346" si="126">G335/D335</f>
        <v>#DIV/0!</v>
      </c>
      <c r="I335" s="224"/>
      <c r="J335" s="175"/>
    </row>
    <row r="336" spans="1:10" s="176" customFormat="1" hidden="1" x14ac:dyDescent="0.25">
      <c r="A336" s="40"/>
      <c r="B336" s="190" t="s">
        <v>542</v>
      </c>
      <c r="C336" s="193" t="s">
        <v>391</v>
      </c>
      <c r="D336" s="192"/>
      <c r="E336" s="192"/>
      <c r="F336" s="192"/>
      <c r="G336" s="192">
        <f>E336+F336</f>
        <v>0</v>
      </c>
      <c r="H336" s="24" t="e">
        <f t="shared" si="126"/>
        <v>#DIV/0!</v>
      </c>
      <c r="I336" s="225" t="s">
        <v>470</v>
      </c>
      <c r="J336" s="175"/>
    </row>
    <row r="337" spans="1:10" s="176" customFormat="1" hidden="1" x14ac:dyDescent="0.25">
      <c r="A337" s="40"/>
      <c r="B337" s="43">
        <v>3</v>
      </c>
      <c r="C337" s="185" t="s">
        <v>203</v>
      </c>
      <c r="D337" s="191">
        <f>SUM(D338:D338)</f>
        <v>0</v>
      </c>
      <c r="E337" s="191"/>
      <c r="F337" s="191">
        <f t="shared" ref="F337:G337" si="127">SUM(F338:F338)</f>
        <v>0</v>
      </c>
      <c r="G337" s="191">
        <f t="shared" si="127"/>
        <v>0</v>
      </c>
      <c r="H337" s="236" t="e">
        <f t="shared" si="126"/>
        <v>#DIV/0!</v>
      </c>
      <c r="I337" s="224"/>
      <c r="J337" s="175"/>
    </row>
    <row r="338" spans="1:10" s="176" customFormat="1" hidden="1" x14ac:dyDescent="0.25">
      <c r="A338" s="40"/>
      <c r="B338" s="190" t="s">
        <v>543</v>
      </c>
      <c r="C338" s="193" t="s">
        <v>392</v>
      </c>
      <c r="D338" s="192"/>
      <c r="E338" s="192"/>
      <c r="F338" s="192"/>
      <c r="G338" s="192">
        <f>E338+F338</f>
        <v>0</v>
      </c>
      <c r="H338" s="24" t="e">
        <f t="shared" si="126"/>
        <v>#DIV/0!</v>
      </c>
      <c r="I338" s="225" t="s">
        <v>469</v>
      </c>
      <c r="J338" s="175"/>
    </row>
    <row r="339" spans="1:10" s="176" customFormat="1" hidden="1" x14ac:dyDescent="0.25">
      <c r="A339" s="40"/>
      <c r="B339" s="43">
        <v>4</v>
      </c>
      <c r="C339" s="185" t="s">
        <v>192</v>
      </c>
      <c r="D339" s="191">
        <f>SUM(D340)</f>
        <v>0</v>
      </c>
      <c r="E339" s="191"/>
      <c r="F339" s="191">
        <f t="shared" ref="F339:G339" si="128">SUM(F340)</f>
        <v>0</v>
      </c>
      <c r="G339" s="191">
        <f t="shared" si="128"/>
        <v>0</v>
      </c>
      <c r="H339" s="236" t="e">
        <f t="shared" si="126"/>
        <v>#DIV/0!</v>
      </c>
      <c r="I339" s="224"/>
      <c r="J339" s="175"/>
    </row>
    <row r="340" spans="1:10" s="176" customFormat="1" hidden="1" x14ac:dyDescent="0.25">
      <c r="A340" s="40"/>
      <c r="B340" s="190" t="s">
        <v>544</v>
      </c>
      <c r="C340" s="47" t="s">
        <v>393</v>
      </c>
      <c r="D340" s="192"/>
      <c r="E340" s="192"/>
      <c r="F340" s="192"/>
      <c r="G340" s="192">
        <f>E340+F340</f>
        <v>0</v>
      </c>
      <c r="H340" s="24" t="e">
        <f t="shared" si="126"/>
        <v>#DIV/0!</v>
      </c>
      <c r="I340" s="225" t="s">
        <v>469</v>
      </c>
      <c r="J340" s="175"/>
    </row>
    <row r="341" spans="1:10" s="176" customFormat="1" hidden="1" x14ac:dyDescent="0.25">
      <c r="A341" s="40"/>
      <c r="B341" s="43">
        <v>5</v>
      </c>
      <c r="C341" s="185" t="s">
        <v>204</v>
      </c>
      <c r="D341" s="191">
        <f>SUM(D342:D342)</f>
        <v>0</v>
      </c>
      <c r="E341" s="191"/>
      <c r="F341" s="191">
        <f t="shared" ref="F341:G341" si="129">SUM(F342:F342)</f>
        <v>0</v>
      </c>
      <c r="G341" s="191">
        <f t="shared" si="129"/>
        <v>0</v>
      </c>
      <c r="H341" s="236" t="e">
        <f t="shared" si="126"/>
        <v>#DIV/0!</v>
      </c>
      <c r="I341" s="223"/>
      <c r="J341" s="175"/>
    </row>
    <row r="342" spans="1:10" s="176" customFormat="1" hidden="1" x14ac:dyDescent="0.25">
      <c r="A342" s="40"/>
      <c r="B342" s="190" t="s">
        <v>545</v>
      </c>
      <c r="C342" s="47" t="s">
        <v>394</v>
      </c>
      <c r="D342" s="192"/>
      <c r="E342" s="192"/>
      <c r="F342" s="192"/>
      <c r="G342" s="192">
        <f>E342+F342</f>
        <v>0</v>
      </c>
      <c r="H342" s="24" t="e">
        <f t="shared" si="126"/>
        <v>#DIV/0!</v>
      </c>
      <c r="I342" s="225"/>
      <c r="J342" s="175"/>
    </row>
    <row r="343" spans="1:10" s="176" customFormat="1" hidden="1" x14ac:dyDescent="0.25">
      <c r="A343" s="40"/>
      <c r="B343" s="43">
        <v>6</v>
      </c>
      <c r="C343" s="185" t="s">
        <v>205</v>
      </c>
      <c r="D343" s="191">
        <f>SUM(D344:D344)</f>
        <v>0</v>
      </c>
      <c r="E343" s="191">
        <f t="shared" ref="E343:G343" si="130">SUM(E344:E344)</f>
        <v>0</v>
      </c>
      <c r="F343" s="191">
        <f t="shared" si="130"/>
        <v>0</v>
      </c>
      <c r="G343" s="191">
        <f t="shared" si="130"/>
        <v>0</v>
      </c>
      <c r="H343" s="253" t="e">
        <f t="shared" si="126"/>
        <v>#DIV/0!</v>
      </c>
      <c r="I343" s="223"/>
      <c r="J343" s="175"/>
    </row>
    <row r="344" spans="1:10" s="176" customFormat="1" hidden="1" x14ac:dyDescent="0.25">
      <c r="A344" s="40"/>
      <c r="B344" s="190" t="s">
        <v>376</v>
      </c>
      <c r="C344" s="48" t="s">
        <v>395</v>
      </c>
      <c r="D344" s="192">
        <v>0</v>
      </c>
      <c r="E344" s="192"/>
      <c r="F344" s="192"/>
      <c r="G344" s="192">
        <f>E344+F344</f>
        <v>0</v>
      </c>
      <c r="H344" s="252" t="e">
        <f t="shared" si="126"/>
        <v>#DIV/0!</v>
      </c>
      <c r="I344" s="225"/>
      <c r="J344" s="175"/>
    </row>
    <row r="345" spans="1:10" s="176" customFormat="1" hidden="1" x14ac:dyDescent="0.25">
      <c r="A345" s="40"/>
      <c r="B345" s="46">
        <v>7</v>
      </c>
      <c r="C345" s="170" t="s">
        <v>206</v>
      </c>
      <c r="D345" s="191">
        <f>D346</f>
        <v>0</v>
      </c>
      <c r="E345" s="191"/>
      <c r="F345" s="191">
        <f t="shared" ref="F345:G345" si="131">F346</f>
        <v>0</v>
      </c>
      <c r="G345" s="191">
        <f t="shared" si="131"/>
        <v>0</v>
      </c>
      <c r="H345" s="236" t="e">
        <f t="shared" si="126"/>
        <v>#DIV/0!</v>
      </c>
      <c r="I345" s="225"/>
      <c r="J345" s="175"/>
    </row>
    <row r="346" spans="1:10" s="176" customFormat="1" hidden="1" x14ac:dyDescent="0.25">
      <c r="A346" s="40"/>
      <c r="B346" s="190" t="s">
        <v>546</v>
      </c>
      <c r="C346" s="48" t="s">
        <v>207</v>
      </c>
      <c r="D346" s="192"/>
      <c r="E346" s="192"/>
      <c r="F346" s="192"/>
      <c r="G346" s="192">
        <f>E346+F346</f>
        <v>0</v>
      </c>
      <c r="H346" s="24" t="e">
        <f t="shared" si="126"/>
        <v>#DIV/0!</v>
      </c>
      <c r="I346" s="225" t="s">
        <v>469</v>
      </c>
      <c r="J346" s="175"/>
    </row>
    <row r="347" spans="1:10" s="176" customFormat="1" hidden="1" x14ac:dyDescent="0.25">
      <c r="A347" s="40"/>
      <c r="B347" s="46"/>
      <c r="C347" s="49"/>
      <c r="D347" s="50"/>
      <c r="E347" s="50"/>
      <c r="F347" s="50"/>
      <c r="G347" s="191"/>
      <c r="H347" s="236"/>
      <c r="I347" s="223"/>
      <c r="J347" s="175"/>
    </row>
    <row r="348" spans="1:10" s="176" customFormat="1" ht="36.75" hidden="1" customHeight="1" x14ac:dyDescent="0.25">
      <c r="A348" s="293"/>
      <c r="B348" s="262" t="s">
        <v>415</v>
      </c>
      <c r="C348" s="41" t="s">
        <v>208</v>
      </c>
      <c r="D348" s="42">
        <f>SUM(D349+D351+D353+D356+D358+D360)</f>
        <v>0</v>
      </c>
      <c r="E348" s="42"/>
      <c r="F348" s="42">
        <f>SUM(F349+F351+F353+F356+F358+F360)</f>
        <v>0</v>
      </c>
      <c r="G348" s="42">
        <f t="shared" ref="G348:G361" si="132">F348-D348</f>
        <v>0</v>
      </c>
      <c r="H348" s="237"/>
      <c r="I348" s="226"/>
      <c r="J348" s="175"/>
    </row>
    <row r="349" spans="1:10" s="176" customFormat="1" hidden="1" x14ac:dyDescent="0.25">
      <c r="A349" s="40"/>
      <c r="B349" s="51">
        <v>1</v>
      </c>
      <c r="C349" s="35" t="s">
        <v>209</v>
      </c>
      <c r="D349" s="191">
        <f>SUM(D350:D350)</f>
        <v>0</v>
      </c>
      <c r="E349" s="191"/>
      <c r="F349" s="191">
        <f>SUM(F350:F350)</f>
        <v>0</v>
      </c>
      <c r="G349" s="191">
        <f t="shared" si="132"/>
        <v>0</v>
      </c>
      <c r="H349" s="236"/>
      <c r="I349" s="224"/>
      <c r="J349" s="175"/>
    </row>
    <row r="350" spans="1:10" s="176" customFormat="1" hidden="1" x14ac:dyDescent="0.25">
      <c r="A350" s="40"/>
      <c r="B350" s="190" t="s">
        <v>380</v>
      </c>
      <c r="C350" s="193" t="s">
        <v>210</v>
      </c>
      <c r="D350" s="192">
        <v>0</v>
      </c>
      <c r="E350" s="192"/>
      <c r="F350" s="192">
        <v>0</v>
      </c>
      <c r="G350" s="192">
        <f t="shared" si="132"/>
        <v>0</v>
      </c>
      <c r="H350" s="24"/>
      <c r="I350" s="225"/>
      <c r="J350" s="175"/>
    </row>
    <row r="351" spans="1:10" s="176" customFormat="1" hidden="1" x14ac:dyDescent="0.25">
      <c r="A351" s="40"/>
      <c r="B351" s="51">
        <v>2</v>
      </c>
      <c r="C351" s="35" t="s">
        <v>211</v>
      </c>
      <c r="D351" s="191">
        <f>SUM(D352)</f>
        <v>0</v>
      </c>
      <c r="E351" s="191"/>
      <c r="F351" s="191">
        <f>SUM(F352)</f>
        <v>0</v>
      </c>
      <c r="G351" s="191">
        <f t="shared" si="132"/>
        <v>0</v>
      </c>
      <c r="H351" s="236"/>
      <c r="I351" s="224"/>
      <c r="J351" s="175"/>
    </row>
    <row r="352" spans="1:10" s="176" customFormat="1" hidden="1" x14ac:dyDescent="0.25">
      <c r="A352" s="40"/>
      <c r="B352" s="190" t="s">
        <v>383</v>
      </c>
      <c r="C352" s="193" t="s">
        <v>194</v>
      </c>
      <c r="D352" s="192">
        <v>0</v>
      </c>
      <c r="E352" s="192"/>
      <c r="F352" s="192">
        <v>0</v>
      </c>
      <c r="G352" s="192">
        <f t="shared" si="132"/>
        <v>0</v>
      </c>
      <c r="H352" s="24"/>
      <c r="I352" s="225"/>
      <c r="J352" s="175"/>
    </row>
    <row r="353" spans="1:10" s="176" customFormat="1" hidden="1" x14ac:dyDescent="0.25">
      <c r="A353" s="40"/>
      <c r="B353" s="51">
        <v>3</v>
      </c>
      <c r="C353" s="185" t="s">
        <v>172</v>
      </c>
      <c r="D353" s="191">
        <f>SUM(D354:D355)</f>
        <v>0</v>
      </c>
      <c r="E353" s="191"/>
      <c r="F353" s="191">
        <f>SUM(F354:F355)</f>
        <v>0</v>
      </c>
      <c r="G353" s="191">
        <f t="shared" si="132"/>
        <v>0</v>
      </c>
      <c r="H353" s="236"/>
      <c r="I353" s="224"/>
      <c r="J353" s="175"/>
    </row>
    <row r="354" spans="1:10" s="176" customFormat="1" hidden="1" x14ac:dyDescent="0.25">
      <c r="A354" s="40"/>
      <c r="B354" s="190" t="s">
        <v>377</v>
      </c>
      <c r="C354" s="193" t="s">
        <v>174</v>
      </c>
      <c r="D354" s="192"/>
      <c r="E354" s="192"/>
      <c r="F354" s="192"/>
      <c r="G354" s="192">
        <f t="shared" si="132"/>
        <v>0</v>
      </c>
      <c r="H354" s="24"/>
      <c r="I354" s="225"/>
      <c r="J354" s="175"/>
    </row>
    <row r="355" spans="1:10" s="176" customFormat="1" hidden="1" x14ac:dyDescent="0.25">
      <c r="A355" s="40"/>
      <c r="B355" s="190" t="s">
        <v>378</v>
      </c>
      <c r="C355" s="193" t="s">
        <v>175</v>
      </c>
      <c r="D355" s="192"/>
      <c r="E355" s="192"/>
      <c r="F355" s="192"/>
      <c r="G355" s="192">
        <f t="shared" si="132"/>
        <v>0</v>
      </c>
      <c r="H355" s="24"/>
      <c r="I355" s="225"/>
      <c r="J355" s="175"/>
    </row>
    <row r="356" spans="1:10" s="176" customFormat="1" hidden="1" x14ac:dyDescent="0.25">
      <c r="A356" s="40"/>
      <c r="B356" s="51">
        <v>4</v>
      </c>
      <c r="C356" s="35" t="s">
        <v>212</v>
      </c>
      <c r="D356" s="191">
        <f>D357</f>
        <v>0</v>
      </c>
      <c r="E356" s="191"/>
      <c r="F356" s="191">
        <f>F357</f>
        <v>0</v>
      </c>
      <c r="G356" s="191">
        <f t="shared" si="132"/>
        <v>0</v>
      </c>
      <c r="H356" s="236"/>
      <c r="I356" s="225"/>
      <c r="J356" s="175"/>
    </row>
    <row r="357" spans="1:10" s="176" customFormat="1" hidden="1" x14ac:dyDescent="0.25">
      <c r="A357" s="40"/>
      <c r="B357" s="190" t="s">
        <v>381</v>
      </c>
      <c r="C357" s="193" t="s">
        <v>189</v>
      </c>
      <c r="D357" s="191">
        <v>0</v>
      </c>
      <c r="E357" s="191"/>
      <c r="F357" s="191">
        <v>0</v>
      </c>
      <c r="G357" s="192">
        <f t="shared" si="132"/>
        <v>0</v>
      </c>
      <c r="H357" s="236"/>
      <c r="I357" s="225"/>
      <c r="J357" s="175"/>
    </row>
    <row r="358" spans="1:10" s="176" customFormat="1" hidden="1" x14ac:dyDescent="0.25">
      <c r="A358" s="40"/>
      <c r="B358" s="51">
        <v>5</v>
      </c>
      <c r="C358" s="35" t="s">
        <v>213</v>
      </c>
      <c r="D358" s="191">
        <f>SUM(D359:D359)</f>
        <v>0</v>
      </c>
      <c r="E358" s="191"/>
      <c r="F358" s="191">
        <f>SUM(F359:F359)</f>
        <v>0</v>
      </c>
      <c r="G358" s="191">
        <f t="shared" si="132"/>
        <v>0</v>
      </c>
      <c r="H358" s="236"/>
      <c r="I358" s="224"/>
      <c r="J358" s="175"/>
    </row>
    <row r="359" spans="1:10" s="176" customFormat="1" hidden="1" x14ac:dyDescent="0.25">
      <c r="A359" s="40"/>
      <c r="B359" s="190" t="s">
        <v>382</v>
      </c>
      <c r="C359" s="193" t="s">
        <v>187</v>
      </c>
      <c r="D359" s="192">
        <v>0</v>
      </c>
      <c r="E359" s="192"/>
      <c r="F359" s="192">
        <v>0</v>
      </c>
      <c r="G359" s="192">
        <f t="shared" si="132"/>
        <v>0</v>
      </c>
      <c r="H359" s="24"/>
      <c r="I359" s="225"/>
      <c r="J359" s="175"/>
    </row>
    <row r="360" spans="1:10" s="176" customFormat="1" hidden="1" x14ac:dyDescent="0.25">
      <c r="A360" s="40"/>
      <c r="B360" s="51">
        <v>6</v>
      </c>
      <c r="C360" s="35" t="s">
        <v>214</v>
      </c>
      <c r="D360" s="191">
        <f>SUM(D361:D361)</f>
        <v>0</v>
      </c>
      <c r="E360" s="191"/>
      <c r="F360" s="191">
        <f>SUM(F361:F361)</f>
        <v>0</v>
      </c>
      <c r="G360" s="191">
        <f t="shared" si="132"/>
        <v>0</v>
      </c>
      <c r="H360" s="236"/>
      <c r="I360" s="224"/>
      <c r="J360" s="175"/>
    </row>
    <row r="361" spans="1:10" s="176" customFormat="1" hidden="1" x14ac:dyDescent="0.25">
      <c r="A361" s="40"/>
      <c r="B361" s="190" t="s">
        <v>379</v>
      </c>
      <c r="C361" s="193" t="s">
        <v>215</v>
      </c>
      <c r="D361" s="192"/>
      <c r="E361" s="192"/>
      <c r="F361" s="192"/>
      <c r="G361" s="192">
        <f t="shared" si="132"/>
        <v>0</v>
      </c>
      <c r="H361" s="24"/>
      <c r="I361" s="225"/>
      <c r="J361" s="175"/>
    </row>
    <row r="362" spans="1:10" s="176" customFormat="1" x14ac:dyDescent="0.25">
      <c r="A362" s="40"/>
      <c r="B362" s="178"/>
      <c r="C362" s="183"/>
      <c r="D362" s="192"/>
      <c r="E362" s="192"/>
      <c r="F362" s="192"/>
      <c r="G362" s="191"/>
      <c r="H362" s="236"/>
      <c r="I362" s="224"/>
      <c r="J362" s="175"/>
    </row>
    <row r="363" spans="1:10" s="176" customFormat="1" ht="25.5" customHeight="1" x14ac:dyDescent="0.25">
      <c r="A363" s="138" t="s">
        <v>235</v>
      </c>
      <c r="B363" s="139" t="s">
        <v>384</v>
      </c>
      <c r="C363" s="140" t="s">
        <v>385</v>
      </c>
      <c r="D363" s="141">
        <f>SUM(D365+D367+M370+D370+D373+D376+D379+D382+D390+D393+D396+D399+D402+D405)</f>
        <v>51863030000</v>
      </c>
      <c r="E363" s="141">
        <f t="shared" ref="E363:G363" si="133">SUM(E365+E367+N370+E370+E373+E376+E379+E382+E390+E393+E396+E399+E402+E405)</f>
        <v>0</v>
      </c>
      <c r="F363" s="141">
        <f t="shared" si="133"/>
        <v>1057600000</v>
      </c>
      <c r="G363" s="141">
        <f t="shared" si="133"/>
        <v>1057600000</v>
      </c>
      <c r="H363" s="240">
        <f>G363/D363</f>
        <v>2.0392175312549228E-2</v>
      </c>
      <c r="I363" s="225" t="s">
        <v>216</v>
      </c>
      <c r="J363" s="175"/>
    </row>
    <row r="364" spans="1:10" s="176" customFormat="1" ht="21" customHeight="1" x14ac:dyDescent="0.25">
      <c r="A364" s="40"/>
      <c r="B364" s="167" t="s">
        <v>19</v>
      </c>
      <c r="C364" s="185" t="s">
        <v>635</v>
      </c>
      <c r="D364" s="191">
        <f>D365</f>
        <v>50738030000</v>
      </c>
      <c r="E364" s="191"/>
      <c r="F364" s="191">
        <f t="shared" ref="F364:G364" si="134">F365</f>
        <v>0</v>
      </c>
      <c r="G364" s="191">
        <f t="shared" si="134"/>
        <v>0</v>
      </c>
      <c r="H364" s="236">
        <f>G364/D364</f>
        <v>0</v>
      </c>
      <c r="I364" s="225" t="s">
        <v>218</v>
      </c>
      <c r="J364" s="175"/>
    </row>
    <row r="365" spans="1:10" s="176" customFormat="1" ht="21" customHeight="1" x14ac:dyDescent="0.25">
      <c r="A365" s="40"/>
      <c r="B365" s="190" t="s">
        <v>634</v>
      </c>
      <c r="C365" s="183" t="s">
        <v>636</v>
      </c>
      <c r="D365" s="192">
        <v>50738030000</v>
      </c>
      <c r="E365" s="192"/>
      <c r="F365" s="192">
        <v>0</v>
      </c>
      <c r="G365" s="192">
        <f>E365+F365</f>
        <v>0</v>
      </c>
      <c r="H365" s="24">
        <f>G365/D365</f>
        <v>0</v>
      </c>
      <c r="I365" s="225"/>
      <c r="J365" s="175"/>
    </row>
    <row r="366" spans="1:10" s="176" customFormat="1" ht="25.5" customHeight="1" x14ac:dyDescent="0.25">
      <c r="A366" s="169"/>
      <c r="B366" s="189"/>
      <c r="C366" s="185"/>
      <c r="D366" s="191"/>
      <c r="E366" s="191"/>
      <c r="F366" s="191"/>
      <c r="G366" s="191"/>
      <c r="H366" s="236"/>
      <c r="I366" s="225"/>
      <c r="J366" s="175"/>
    </row>
    <row r="367" spans="1:10" s="176" customFormat="1" ht="21" customHeight="1" x14ac:dyDescent="0.25">
      <c r="A367" s="40"/>
      <c r="B367" s="167" t="s">
        <v>39</v>
      </c>
      <c r="C367" s="185" t="s">
        <v>638</v>
      </c>
      <c r="D367" s="191">
        <f>D368</f>
        <v>1125000000</v>
      </c>
      <c r="E367" s="191"/>
      <c r="F367" s="191">
        <f t="shared" ref="F367:G367" si="135">F368</f>
        <v>0</v>
      </c>
      <c r="G367" s="191">
        <f t="shared" si="135"/>
        <v>0</v>
      </c>
      <c r="H367" s="236">
        <f>G367/D367</f>
        <v>0</v>
      </c>
      <c r="I367" s="225" t="s">
        <v>218</v>
      </c>
      <c r="J367" s="175"/>
    </row>
    <row r="368" spans="1:10" s="176" customFormat="1" ht="21" customHeight="1" x14ac:dyDescent="0.25">
      <c r="A368" s="40"/>
      <c r="B368" s="190" t="s">
        <v>637</v>
      </c>
      <c r="C368" s="183" t="s">
        <v>639</v>
      </c>
      <c r="D368" s="192">
        <v>1125000000</v>
      </c>
      <c r="E368" s="192"/>
      <c r="F368" s="192">
        <v>0</v>
      </c>
      <c r="G368" s="192">
        <f>E368+F368</f>
        <v>0</v>
      </c>
      <c r="H368" s="24">
        <f>G368/D368</f>
        <v>0</v>
      </c>
      <c r="I368" s="225"/>
      <c r="J368" s="175"/>
    </row>
    <row r="369" spans="1:10" s="176" customFormat="1" ht="21" customHeight="1" x14ac:dyDescent="0.25">
      <c r="A369" s="40"/>
      <c r="B369" s="190"/>
      <c r="C369" s="183"/>
      <c r="D369" s="192"/>
      <c r="E369" s="192"/>
      <c r="F369" s="192"/>
      <c r="G369" s="192"/>
      <c r="H369" s="24"/>
      <c r="I369" s="225"/>
      <c r="J369" s="175"/>
    </row>
    <row r="370" spans="1:10" s="176" customFormat="1" ht="21" customHeight="1" x14ac:dyDescent="0.25">
      <c r="A370" s="40"/>
      <c r="B370" s="167" t="s">
        <v>19</v>
      </c>
      <c r="C370" s="185" t="s">
        <v>217</v>
      </c>
      <c r="D370" s="191">
        <f>D371</f>
        <v>0</v>
      </c>
      <c r="E370" s="191"/>
      <c r="F370" s="191">
        <f t="shared" ref="F370:G370" si="136">F371</f>
        <v>0</v>
      </c>
      <c r="G370" s="191">
        <f t="shared" si="136"/>
        <v>0</v>
      </c>
      <c r="H370" s="236" t="e">
        <f>G370/D370</f>
        <v>#DIV/0!</v>
      </c>
      <c r="I370" s="225" t="s">
        <v>218</v>
      </c>
      <c r="J370" s="175"/>
    </row>
    <row r="371" spans="1:10" s="176" customFormat="1" ht="21" customHeight="1" x14ac:dyDescent="0.25">
      <c r="A371" s="40"/>
      <c r="B371" s="190" t="s">
        <v>547</v>
      </c>
      <c r="C371" s="183" t="s">
        <v>217</v>
      </c>
      <c r="D371" s="192"/>
      <c r="E371" s="192"/>
      <c r="F371" s="192">
        <v>0</v>
      </c>
      <c r="G371" s="192">
        <f>E371+F371</f>
        <v>0</v>
      </c>
      <c r="H371" s="24" t="e">
        <f>G371/D371</f>
        <v>#DIV/0!</v>
      </c>
      <c r="I371" s="225"/>
      <c r="J371" s="175"/>
    </row>
    <row r="372" spans="1:10" s="176" customFormat="1" ht="21" customHeight="1" x14ac:dyDescent="0.25">
      <c r="A372" s="40"/>
      <c r="B372" s="190"/>
      <c r="C372" s="183"/>
      <c r="D372" s="192"/>
      <c r="E372" s="192"/>
      <c r="F372" s="192"/>
      <c r="G372" s="192"/>
      <c r="H372" s="236"/>
      <c r="I372" s="225"/>
      <c r="J372" s="175"/>
    </row>
    <row r="373" spans="1:10" s="176" customFormat="1" ht="21" customHeight="1" x14ac:dyDescent="0.25">
      <c r="A373" s="40"/>
      <c r="B373" s="167" t="s">
        <v>39</v>
      </c>
      <c r="C373" s="185" t="s">
        <v>219</v>
      </c>
      <c r="D373" s="191">
        <f>D374</f>
        <v>0</v>
      </c>
      <c r="E373" s="191"/>
      <c r="F373" s="191">
        <f t="shared" ref="F373:G373" si="137">F374</f>
        <v>0</v>
      </c>
      <c r="G373" s="191">
        <f t="shared" si="137"/>
        <v>0</v>
      </c>
      <c r="H373" s="236" t="e">
        <f>G373/D373</f>
        <v>#DIV/0!</v>
      </c>
      <c r="I373" s="225" t="s">
        <v>218</v>
      </c>
      <c r="J373" s="175"/>
    </row>
    <row r="374" spans="1:10" s="176" customFormat="1" ht="21" customHeight="1" x14ac:dyDescent="0.25">
      <c r="A374" s="40"/>
      <c r="B374" s="190" t="s">
        <v>548</v>
      </c>
      <c r="C374" s="183" t="s">
        <v>219</v>
      </c>
      <c r="D374" s="192"/>
      <c r="E374" s="192"/>
      <c r="F374" s="192"/>
      <c r="G374" s="192">
        <f>E374+F374</f>
        <v>0</v>
      </c>
      <c r="H374" s="24" t="e">
        <f>G374/D374</f>
        <v>#DIV/0!</v>
      </c>
      <c r="I374" s="225"/>
      <c r="J374" s="175"/>
    </row>
    <row r="375" spans="1:10" s="176" customFormat="1" ht="21" customHeight="1" x14ac:dyDescent="0.25">
      <c r="A375" s="40"/>
      <c r="B375" s="190"/>
      <c r="C375" s="183"/>
      <c r="D375" s="191"/>
      <c r="E375" s="191"/>
      <c r="F375" s="191"/>
      <c r="G375" s="192"/>
      <c r="H375" s="236"/>
      <c r="I375" s="225"/>
      <c r="J375" s="175"/>
    </row>
    <row r="376" spans="1:10" s="176" customFormat="1" x14ac:dyDescent="0.25">
      <c r="A376" s="40"/>
      <c r="B376" s="167" t="s">
        <v>46</v>
      </c>
      <c r="C376" s="35" t="s">
        <v>220</v>
      </c>
      <c r="D376" s="191">
        <f>SUM(D377)</f>
        <v>0</v>
      </c>
      <c r="E376" s="191"/>
      <c r="F376" s="191">
        <f t="shared" ref="F376:G376" si="138">SUM(F377)</f>
        <v>0</v>
      </c>
      <c r="G376" s="191">
        <f t="shared" si="138"/>
        <v>0</v>
      </c>
      <c r="H376" s="236" t="e">
        <f>G376/D376</f>
        <v>#DIV/0!</v>
      </c>
      <c r="I376" s="223"/>
      <c r="J376" s="175"/>
    </row>
    <row r="377" spans="1:10" s="176" customFormat="1" x14ac:dyDescent="0.25">
      <c r="A377" s="40"/>
      <c r="B377" s="190" t="s">
        <v>549</v>
      </c>
      <c r="C377" s="193" t="s">
        <v>220</v>
      </c>
      <c r="D377" s="192"/>
      <c r="E377" s="192"/>
      <c r="F377" s="192"/>
      <c r="G377" s="192">
        <f>E377+F377</f>
        <v>0</v>
      </c>
      <c r="H377" s="24" t="e">
        <f>G377/D377</f>
        <v>#DIV/0!</v>
      </c>
      <c r="I377" s="225" t="s">
        <v>218</v>
      </c>
      <c r="J377" s="175"/>
    </row>
    <row r="378" spans="1:10" s="176" customFormat="1" x14ac:dyDescent="0.25">
      <c r="A378" s="40"/>
      <c r="B378" s="190"/>
      <c r="C378" s="193"/>
      <c r="D378" s="192"/>
      <c r="E378" s="192"/>
      <c r="F378" s="192"/>
      <c r="G378" s="192"/>
      <c r="H378" s="24"/>
      <c r="I378" s="225"/>
      <c r="J378" s="175"/>
    </row>
    <row r="379" spans="1:10" s="176" customFormat="1" x14ac:dyDescent="0.25">
      <c r="A379" s="40"/>
      <c r="B379" s="167" t="s">
        <v>8</v>
      </c>
      <c r="C379" s="35" t="s">
        <v>221</v>
      </c>
      <c r="D379" s="191">
        <f>SUM(D380)</f>
        <v>0</v>
      </c>
      <c r="E379" s="191"/>
      <c r="F379" s="191">
        <f t="shared" ref="F379:G379" si="139">SUM(F380)</f>
        <v>681300000</v>
      </c>
      <c r="G379" s="191">
        <f t="shared" si="139"/>
        <v>681300000</v>
      </c>
      <c r="H379" s="236" t="e">
        <f>G379/D379</f>
        <v>#DIV/0!</v>
      </c>
      <c r="I379" s="223"/>
      <c r="J379" s="175"/>
    </row>
    <row r="380" spans="1:10" s="176" customFormat="1" x14ac:dyDescent="0.25">
      <c r="A380" s="40"/>
      <c r="B380" s="190" t="s">
        <v>550</v>
      </c>
      <c r="C380" s="193" t="s">
        <v>221</v>
      </c>
      <c r="D380" s="192"/>
      <c r="E380" s="192"/>
      <c r="F380" s="192">
        <v>681300000</v>
      </c>
      <c r="G380" s="192">
        <f>E380+F380</f>
        <v>681300000</v>
      </c>
      <c r="H380" s="24" t="e">
        <f>G380/D380</f>
        <v>#DIV/0!</v>
      </c>
      <c r="I380" s="225" t="s">
        <v>218</v>
      </c>
      <c r="J380" s="175"/>
    </row>
    <row r="381" spans="1:10" s="176" customFormat="1" x14ac:dyDescent="0.25">
      <c r="A381" s="40"/>
      <c r="B381" s="190"/>
      <c r="C381" s="193"/>
      <c r="D381" s="192"/>
      <c r="E381" s="192"/>
      <c r="F381" s="192"/>
      <c r="G381" s="192"/>
      <c r="H381" s="24"/>
      <c r="I381" s="225"/>
      <c r="J381" s="175"/>
    </row>
    <row r="382" spans="1:10" s="176" customFormat="1" x14ac:dyDescent="0.25">
      <c r="A382" s="40"/>
      <c r="B382" s="167" t="s">
        <v>49</v>
      </c>
      <c r="C382" s="35" t="s">
        <v>222</v>
      </c>
      <c r="D382" s="191">
        <f>SUM(D383:D388)</f>
        <v>0</v>
      </c>
      <c r="E382" s="191"/>
      <c r="F382" s="191">
        <f t="shared" ref="F382:G382" si="140">SUM(F383:F388)</f>
        <v>0</v>
      </c>
      <c r="G382" s="191">
        <f t="shared" si="140"/>
        <v>0</v>
      </c>
      <c r="H382" s="236" t="e">
        <f>G382/D382</f>
        <v>#DIV/0!</v>
      </c>
      <c r="I382" s="227"/>
      <c r="J382" s="175"/>
    </row>
    <row r="383" spans="1:10" s="176" customFormat="1" x14ac:dyDescent="0.25">
      <c r="A383" s="40"/>
      <c r="B383" s="190" t="s">
        <v>551</v>
      </c>
      <c r="C383" s="193" t="s">
        <v>223</v>
      </c>
      <c r="D383" s="192"/>
      <c r="E383" s="192"/>
      <c r="F383" s="192"/>
      <c r="G383" s="192">
        <f>E383+F383</f>
        <v>0</v>
      </c>
      <c r="H383" s="24" t="e">
        <f>G383/D383</f>
        <v>#DIV/0!</v>
      </c>
      <c r="I383" s="225" t="s">
        <v>218</v>
      </c>
      <c r="J383" s="175"/>
    </row>
    <row r="384" spans="1:10" s="176" customFormat="1" x14ac:dyDescent="0.25">
      <c r="A384" s="40"/>
      <c r="B384" s="190" t="s">
        <v>552</v>
      </c>
      <c r="C384" s="193" t="s">
        <v>227</v>
      </c>
      <c r="D384" s="192"/>
      <c r="E384" s="192"/>
      <c r="F384" s="192"/>
      <c r="G384" s="192">
        <f t="shared" ref="G384:G391" si="141">E384+F384</f>
        <v>0</v>
      </c>
      <c r="H384" s="24" t="e">
        <f>G384/D384</f>
        <v>#DIV/0!</v>
      </c>
      <c r="I384" s="225" t="s">
        <v>216</v>
      </c>
      <c r="J384" s="175"/>
    </row>
    <row r="385" spans="1:10" s="176" customFormat="1" x14ac:dyDescent="0.25">
      <c r="A385" s="40"/>
      <c r="B385" s="190" t="s">
        <v>553</v>
      </c>
      <c r="C385" s="193" t="s">
        <v>224</v>
      </c>
      <c r="D385" s="192"/>
      <c r="E385" s="192"/>
      <c r="F385" s="192"/>
      <c r="G385" s="192">
        <f t="shared" si="141"/>
        <v>0</v>
      </c>
      <c r="H385" s="24" t="e">
        <f>G385/D385</f>
        <v>#DIV/0!</v>
      </c>
      <c r="I385" s="225" t="s">
        <v>218</v>
      </c>
      <c r="J385" s="175"/>
    </row>
    <row r="386" spans="1:10" s="176" customFormat="1" ht="18" hidden="1" customHeight="1" x14ac:dyDescent="0.25">
      <c r="A386" s="40"/>
      <c r="B386" s="52"/>
      <c r="C386" s="193" t="s">
        <v>225</v>
      </c>
      <c r="D386" s="192"/>
      <c r="E386" s="192"/>
      <c r="F386" s="192"/>
      <c r="G386" s="192">
        <f t="shared" si="141"/>
        <v>0</v>
      </c>
      <c r="H386" s="24">
        <v>0</v>
      </c>
      <c r="I386" s="223"/>
      <c r="J386" s="175"/>
    </row>
    <row r="387" spans="1:10" s="176" customFormat="1" x14ac:dyDescent="0.25">
      <c r="A387" s="40"/>
      <c r="B387" s="190" t="s">
        <v>554</v>
      </c>
      <c r="C387" s="193" t="s">
        <v>226</v>
      </c>
      <c r="D387" s="192"/>
      <c r="E387" s="192"/>
      <c r="F387" s="192"/>
      <c r="G387" s="192">
        <f t="shared" si="141"/>
        <v>0</v>
      </c>
      <c r="H387" s="24" t="e">
        <f>G387/D387</f>
        <v>#DIV/0!</v>
      </c>
      <c r="I387" s="225" t="s">
        <v>216</v>
      </c>
      <c r="J387" s="175"/>
    </row>
    <row r="388" spans="1:10" s="176" customFormat="1" x14ac:dyDescent="0.25">
      <c r="A388" s="40"/>
      <c r="B388" s="190" t="s">
        <v>386</v>
      </c>
      <c r="C388" s="193" t="s">
        <v>228</v>
      </c>
      <c r="D388" s="192"/>
      <c r="E388" s="192"/>
      <c r="F388" s="192"/>
      <c r="G388" s="192">
        <f t="shared" si="141"/>
        <v>0</v>
      </c>
      <c r="H388" s="24"/>
      <c r="I388" s="225" t="s">
        <v>216</v>
      </c>
      <c r="J388" s="175"/>
    </row>
    <row r="389" spans="1:10" s="176" customFormat="1" x14ac:dyDescent="0.25">
      <c r="A389" s="40"/>
      <c r="B389" s="190"/>
      <c r="C389" s="193"/>
      <c r="D389" s="192"/>
      <c r="E389" s="192"/>
      <c r="F389" s="192"/>
      <c r="G389" s="192">
        <f t="shared" si="141"/>
        <v>0</v>
      </c>
      <c r="H389" s="24"/>
      <c r="I389" s="225"/>
      <c r="J389" s="175"/>
    </row>
    <row r="390" spans="1:10" s="176" customFormat="1" x14ac:dyDescent="0.25">
      <c r="A390" s="40"/>
      <c r="B390" s="167" t="s">
        <v>53</v>
      </c>
      <c r="C390" s="35" t="s">
        <v>229</v>
      </c>
      <c r="D390" s="191">
        <f>SUM(D391)</f>
        <v>0</v>
      </c>
      <c r="E390" s="191"/>
      <c r="F390" s="191">
        <f>SUM(F391)</f>
        <v>0</v>
      </c>
      <c r="G390" s="192">
        <f t="shared" si="141"/>
        <v>0</v>
      </c>
      <c r="H390" s="253" t="e">
        <f>G390/D390</f>
        <v>#DIV/0!</v>
      </c>
      <c r="I390" s="223"/>
      <c r="J390" s="175"/>
    </row>
    <row r="391" spans="1:10" s="176" customFormat="1" x14ac:dyDescent="0.25">
      <c r="A391" s="40"/>
      <c r="B391" s="190" t="s">
        <v>387</v>
      </c>
      <c r="C391" s="193" t="s">
        <v>229</v>
      </c>
      <c r="D391" s="192">
        <v>0</v>
      </c>
      <c r="E391" s="192"/>
      <c r="F391" s="192"/>
      <c r="G391" s="192">
        <f t="shared" si="141"/>
        <v>0</v>
      </c>
      <c r="H391" s="252" t="e">
        <f>G391/D391</f>
        <v>#DIV/0!</v>
      </c>
      <c r="I391" s="225" t="s">
        <v>216</v>
      </c>
      <c r="J391" s="175"/>
    </row>
    <row r="392" spans="1:10" s="176" customFormat="1" x14ac:dyDescent="0.25">
      <c r="A392" s="40"/>
      <c r="B392" s="190"/>
      <c r="C392" s="193"/>
      <c r="D392" s="192"/>
      <c r="E392" s="192"/>
      <c r="F392" s="192"/>
      <c r="G392" s="192"/>
      <c r="H392" s="24"/>
      <c r="I392" s="225"/>
      <c r="J392" s="175"/>
    </row>
    <row r="393" spans="1:10" s="176" customFormat="1" x14ac:dyDescent="0.25">
      <c r="A393" s="40"/>
      <c r="B393" s="167" t="s">
        <v>62</v>
      </c>
      <c r="C393" s="35" t="s">
        <v>230</v>
      </c>
      <c r="D393" s="191">
        <f>SUM(D394)</f>
        <v>0</v>
      </c>
      <c r="E393" s="191"/>
      <c r="F393" s="191">
        <f t="shared" ref="F393:G393" si="142">SUM(F394)</f>
        <v>0</v>
      </c>
      <c r="G393" s="191">
        <f t="shared" si="142"/>
        <v>0</v>
      </c>
      <c r="H393" s="236" t="e">
        <f>G393/D393</f>
        <v>#DIV/0!</v>
      </c>
      <c r="I393" s="223"/>
      <c r="J393" s="175"/>
    </row>
    <row r="394" spans="1:10" s="176" customFormat="1" x14ac:dyDescent="0.25">
      <c r="A394" s="40"/>
      <c r="B394" s="190" t="s">
        <v>555</v>
      </c>
      <c r="C394" s="193" t="s">
        <v>230</v>
      </c>
      <c r="D394" s="192"/>
      <c r="E394" s="192"/>
      <c r="F394" s="192"/>
      <c r="G394" s="192">
        <f>E394+F394</f>
        <v>0</v>
      </c>
      <c r="H394" s="24" t="e">
        <f>G394/D394</f>
        <v>#DIV/0!</v>
      </c>
      <c r="I394" s="225" t="s">
        <v>216</v>
      </c>
      <c r="J394" s="175"/>
    </row>
    <row r="395" spans="1:10" s="176" customFormat="1" x14ac:dyDescent="0.25">
      <c r="A395" s="40"/>
      <c r="B395" s="190"/>
      <c r="C395" s="193"/>
      <c r="D395" s="192"/>
      <c r="E395" s="192"/>
      <c r="F395" s="192"/>
      <c r="G395" s="192"/>
      <c r="H395" s="24"/>
      <c r="I395" s="225"/>
      <c r="J395" s="175"/>
    </row>
    <row r="396" spans="1:10" s="176" customFormat="1" x14ac:dyDescent="0.25">
      <c r="A396" s="40"/>
      <c r="B396" s="167" t="s">
        <v>66</v>
      </c>
      <c r="C396" s="35" t="s">
        <v>231</v>
      </c>
      <c r="D396" s="191">
        <f>SUM(D397)</f>
        <v>0</v>
      </c>
      <c r="E396" s="191"/>
      <c r="F396" s="191">
        <f t="shared" ref="F396:G396" si="143">SUM(F397)</f>
        <v>0</v>
      </c>
      <c r="G396" s="191">
        <f t="shared" si="143"/>
        <v>0</v>
      </c>
      <c r="H396" s="236" t="e">
        <f>G396/D396</f>
        <v>#DIV/0!</v>
      </c>
      <c r="I396" s="223"/>
      <c r="J396" s="175"/>
    </row>
    <row r="397" spans="1:10" s="176" customFormat="1" x14ac:dyDescent="0.25">
      <c r="A397" s="40"/>
      <c r="B397" s="190" t="s">
        <v>556</v>
      </c>
      <c r="C397" s="193" t="s">
        <v>231</v>
      </c>
      <c r="D397" s="192"/>
      <c r="E397" s="192"/>
      <c r="F397" s="192"/>
      <c r="G397" s="192">
        <f>E397+F397</f>
        <v>0</v>
      </c>
      <c r="H397" s="24" t="e">
        <f>G397/D397</f>
        <v>#DIV/0!</v>
      </c>
      <c r="I397" s="225" t="s">
        <v>216</v>
      </c>
      <c r="J397" s="175"/>
    </row>
    <row r="398" spans="1:10" s="176" customFormat="1" x14ac:dyDescent="0.25">
      <c r="A398" s="40"/>
      <c r="B398" s="190"/>
      <c r="C398" s="193"/>
      <c r="D398" s="192"/>
      <c r="E398" s="192"/>
      <c r="F398" s="192"/>
      <c r="G398" s="192"/>
      <c r="H398" s="24"/>
      <c r="I398" s="225"/>
      <c r="J398" s="175"/>
    </row>
    <row r="399" spans="1:10" s="176" customFormat="1" x14ac:dyDescent="0.25">
      <c r="A399" s="40"/>
      <c r="B399" s="167" t="s">
        <v>73</v>
      </c>
      <c r="C399" s="185" t="s">
        <v>232</v>
      </c>
      <c r="D399" s="191">
        <f>D400</f>
        <v>0</v>
      </c>
      <c r="E399" s="191"/>
      <c r="F399" s="191">
        <f t="shared" ref="F399:G399" si="144">SUM(F400)</f>
        <v>0</v>
      </c>
      <c r="G399" s="191">
        <f t="shared" si="144"/>
        <v>0</v>
      </c>
      <c r="H399" s="236" t="e">
        <f>G399/D399</f>
        <v>#DIV/0!</v>
      </c>
      <c r="I399" s="225"/>
      <c r="J399" s="175"/>
    </row>
    <row r="400" spans="1:10" s="176" customFormat="1" x14ac:dyDescent="0.25">
      <c r="A400" s="40"/>
      <c r="B400" s="190" t="s">
        <v>557</v>
      </c>
      <c r="C400" s="183" t="s">
        <v>232</v>
      </c>
      <c r="D400" s="192"/>
      <c r="E400" s="192"/>
      <c r="F400" s="192"/>
      <c r="G400" s="192">
        <f>E400+F400</f>
        <v>0</v>
      </c>
      <c r="H400" s="24" t="e">
        <f>G400/D400</f>
        <v>#DIV/0!</v>
      </c>
      <c r="I400" s="225" t="s">
        <v>216</v>
      </c>
      <c r="J400" s="175"/>
    </row>
    <row r="401" spans="1:10" s="176" customFormat="1" x14ac:dyDescent="0.25">
      <c r="A401" s="40"/>
      <c r="B401" s="190"/>
      <c r="C401" s="183"/>
      <c r="D401" s="192"/>
      <c r="E401" s="192"/>
      <c r="F401" s="192"/>
      <c r="G401" s="192"/>
      <c r="H401" s="24"/>
      <c r="I401" s="225"/>
      <c r="J401" s="175"/>
    </row>
    <row r="402" spans="1:10" s="176" customFormat="1" x14ac:dyDescent="0.25">
      <c r="A402" s="40"/>
      <c r="B402" s="167" t="s">
        <v>74</v>
      </c>
      <c r="C402" s="185" t="s">
        <v>233</v>
      </c>
      <c r="D402" s="191">
        <f>D403</f>
        <v>0</v>
      </c>
      <c r="E402" s="191"/>
      <c r="F402" s="191">
        <f t="shared" ref="F402:G402" si="145">SUM(F403)</f>
        <v>0</v>
      </c>
      <c r="G402" s="191">
        <f t="shared" si="145"/>
        <v>0</v>
      </c>
      <c r="H402" s="236" t="e">
        <f>G402/D402</f>
        <v>#DIV/0!</v>
      </c>
      <c r="I402" s="225"/>
      <c r="J402" s="175"/>
    </row>
    <row r="403" spans="1:10" s="176" customFormat="1" x14ac:dyDescent="0.25">
      <c r="A403" s="40"/>
      <c r="B403" s="190" t="s">
        <v>558</v>
      </c>
      <c r="C403" s="183" t="s">
        <v>233</v>
      </c>
      <c r="D403" s="192"/>
      <c r="E403" s="192"/>
      <c r="F403" s="192"/>
      <c r="G403" s="192">
        <f>E403+F403</f>
        <v>0</v>
      </c>
      <c r="H403" s="24" t="e">
        <f>G403/D403</f>
        <v>#DIV/0!</v>
      </c>
      <c r="I403" s="225" t="s">
        <v>216</v>
      </c>
      <c r="J403" s="175"/>
    </row>
    <row r="404" spans="1:10" s="176" customFormat="1" x14ac:dyDescent="0.25">
      <c r="A404" s="40"/>
      <c r="B404" s="22"/>
      <c r="C404" s="183"/>
      <c r="D404" s="192"/>
      <c r="E404" s="192"/>
      <c r="F404" s="192"/>
      <c r="G404" s="192"/>
      <c r="H404" s="24"/>
      <c r="I404" s="225"/>
      <c r="J404" s="175"/>
    </row>
    <row r="405" spans="1:10" s="176" customFormat="1" x14ac:dyDescent="0.25">
      <c r="A405" s="40"/>
      <c r="B405" s="167" t="s">
        <v>81</v>
      </c>
      <c r="C405" s="185" t="s">
        <v>234</v>
      </c>
      <c r="D405" s="191">
        <f>D406</f>
        <v>0</v>
      </c>
      <c r="E405" s="191"/>
      <c r="F405" s="191">
        <f t="shared" ref="F405:G405" si="146">SUM(F406)</f>
        <v>376300000</v>
      </c>
      <c r="G405" s="191">
        <f t="shared" si="146"/>
        <v>376300000</v>
      </c>
      <c r="H405" s="236" t="e">
        <f>G405/D405</f>
        <v>#DIV/0!</v>
      </c>
      <c r="I405" s="225"/>
      <c r="J405" s="175"/>
    </row>
    <row r="406" spans="1:10" s="176" customFormat="1" x14ac:dyDescent="0.25">
      <c r="A406" s="40"/>
      <c r="B406" s="190" t="s">
        <v>559</v>
      </c>
      <c r="C406" s="183" t="s">
        <v>234</v>
      </c>
      <c r="D406" s="192"/>
      <c r="E406" s="192"/>
      <c r="F406" s="192">
        <v>376300000</v>
      </c>
      <c r="G406" s="192">
        <f>E406+F406</f>
        <v>376300000</v>
      </c>
      <c r="H406" s="24" t="e">
        <f>G406/D406</f>
        <v>#DIV/0!</v>
      </c>
      <c r="I406" s="225" t="s">
        <v>216</v>
      </c>
      <c r="J406" s="175"/>
    </row>
    <row r="407" spans="1:10" s="176" customFormat="1" x14ac:dyDescent="0.25">
      <c r="A407" s="40"/>
      <c r="B407" s="22"/>
      <c r="C407" s="183"/>
      <c r="D407" s="192"/>
      <c r="E407" s="192"/>
      <c r="F407" s="192"/>
      <c r="G407" s="191"/>
      <c r="H407" s="236"/>
      <c r="I407" s="223"/>
      <c r="J407" s="175"/>
    </row>
    <row r="408" spans="1:10" s="176" customFormat="1" ht="36.75" customHeight="1" x14ac:dyDescent="0.25">
      <c r="A408" s="132" t="s">
        <v>91</v>
      </c>
      <c r="B408" s="133" t="s">
        <v>396</v>
      </c>
      <c r="C408" s="130" t="s">
        <v>236</v>
      </c>
      <c r="D408" s="131">
        <f>D409</f>
        <v>0</v>
      </c>
      <c r="E408" s="131"/>
      <c r="F408" s="131">
        <f t="shared" ref="F408:G409" si="147">F409</f>
        <v>0</v>
      </c>
      <c r="G408" s="131">
        <f t="shared" si="147"/>
        <v>0</v>
      </c>
      <c r="H408" s="239" t="e">
        <f>G408/D408</f>
        <v>#DIV/0!</v>
      </c>
      <c r="I408" s="225" t="s">
        <v>237</v>
      </c>
      <c r="J408" s="175"/>
    </row>
    <row r="409" spans="1:10" s="176" customFormat="1" ht="36.75" customHeight="1" x14ac:dyDescent="0.25">
      <c r="A409" s="122"/>
      <c r="B409" s="189" t="s">
        <v>397</v>
      </c>
      <c r="C409" s="35" t="s">
        <v>236</v>
      </c>
      <c r="D409" s="121">
        <f>D410</f>
        <v>0</v>
      </c>
      <c r="E409" s="121"/>
      <c r="F409" s="121">
        <f t="shared" si="147"/>
        <v>0</v>
      </c>
      <c r="G409" s="121">
        <f t="shared" si="147"/>
        <v>0</v>
      </c>
      <c r="H409" s="236" t="e">
        <f>G409/D409</f>
        <v>#DIV/0!</v>
      </c>
      <c r="I409" s="225"/>
      <c r="J409" s="175"/>
    </row>
    <row r="410" spans="1:10" s="176" customFormat="1" x14ac:dyDescent="0.25">
      <c r="A410" s="40"/>
      <c r="B410" s="189" t="s">
        <v>560</v>
      </c>
      <c r="C410" s="35" t="s">
        <v>236</v>
      </c>
      <c r="D410" s="121"/>
      <c r="E410" s="121"/>
      <c r="F410" s="121"/>
      <c r="G410" s="191">
        <f>E410+F410</f>
        <v>0</v>
      </c>
      <c r="H410" s="236" t="e">
        <f>G410/D410</f>
        <v>#DIV/0!</v>
      </c>
      <c r="I410" s="223"/>
      <c r="J410" s="175"/>
    </row>
    <row r="411" spans="1:10" s="176" customFormat="1" ht="35.65" customHeight="1" x14ac:dyDescent="0.25">
      <c r="A411" s="40"/>
      <c r="B411" s="178"/>
      <c r="C411" s="54" t="s">
        <v>238</v>
      </c>
      <c r="D411" s="55"/>
      <c r="E411" s="55"/>
      <c r="F411" s="55"/>
      <c r="G411" s="192">
        <f>F411-D411</f>
        <v>0</v>
      </c>
      <c r="H411" s="24"/>
      <c r="I411" s="225"/>
      <c r="J411" s="175"/>
    </row>
    <row r="412" spans="1:10" s="176" customFormat="1" ht="37.15" customHeight="1" x14ac:dyDescent="0.25">
      <c r="A412" s="40"/>
      <c r="B412" s="178"/>
      <c r="C412" s="54" t="s">
        <v>239</v>
      </c>
      <c r="D412" s="55"/>
      <c r="E412" s="55"/>
      <c r="F412" s="55"/>
      <c r="G412" s="192">
        <f>F412-D412</f>
        <v>0</v>
      </c>
      <c r="H412" s="24"/>
      <c r="I412" s="225"/>
      <c r="J412" s="175"/>
    </row>
    <row r="413" spans="1:10" s="176" customFormat="1" ht="39" customHeight="1" x14ac:dyDescent="0.25">
      <c r="A413" s="40"/>
      <c r="B413" s="178"/>
      <c r="C413" s="54" t="s">
        <v>240</v>
      </c>
      <c r="D413" s="55"/>
      <c r="E413" s="55"/>
      <c r="F413" s="55"/>
      <c r="G413" s="192">
        <f>F413-D413</f>
        <v>0</v>
      </c>
      <c r="H413" s="24"/>
      <c r="I413" s="225"/>
      <c r="J413" s="175"/>
    </row>
    <row r="414" spans="1:10" s="176" customFormat="1" x14ac:dyDescent="0.25">
      <c r="A414" s="56"/>
      <c r="B414" s="57"/>
      <c r="C414" s="58"/>
      <c r="D414" s="192"/>
      <c r="E414" s="192"/>
      <c r="F414" s="192"/>
      <c r="G414" s="191"/>
      <c r="H414" s="236"/>
      <c r="I414" s="228"/>
      <c r="J414" s="175"/>
    </row>
    <row r="415" spans="1:10" s="176" customFormat="1" ht="25.5" customHeight="1" x14ac:dyDescent="0.25">
      <c r="A415" s="134" t="s">
        <v>417</v>
      </c>
      <c r="B415" s="135" t="s">
        <v>398</v>
      </c>
      <c r="C415" s="136" t="s">
        <v>399</v>
      </c>
      <c r="D415" s="137">
        <f>SUM(D416+D429)</f>
        <v>105229329081</v>
      </c>
      <c r="E415" s="137"/>
      <c r="F415" s="137">
        <f t="shared" ref="F415:G415" si="148">SUM(F416+F429)</f>
        <v>28592678456</v>
      </c>
      <c r="G415" s="137">
        <f t="shared" si="148"/>
        <v>28592678456</v>
      </c>
      <c r="H415" s="238">
        <f t="shared" ref="H415:H427" si="149">G415/D415</f>
        <v>0.27171776828483685</v>
      </c>
      <c r="I415" s="229"/>
      <c r="J415" s="175"/>
    </row>
    <row r="416" spans="1:10" s="176" customFormat="1" ht="25.5" customHeight="1" x14ac:dyDescent="0.25">
      <c r="A416" s="169" t="s">
        <v>426</v>
      </c>
      <c r="B416" s="189" t="s">
        <v>400</v>
      </c>
      <c r="C416" s="185" t="s">
        <v>401</v>
      </c>
      <c r="D416" s="191">
        <f>D417</f>
        <v>105229329081</v>
      </c>
      <c r="E416" s="191"/>
      <c r="F416" s="191">
        <f t="shared" ref="F416:G416" si="150">F417</f>
        <v>25508678456</v>
      </c>
      <c r="G416" s="191">
        <f t="shared" si="150"/>
        <v>25508678456</v>
      </c>
      <c r="H416" s="236">
        <f t="shared" si="149"/>
        <v>0.24241034965037894</v>
      </c>
      <c r="I416" s="230"/>
      <c r="J416" s="175"/>
    </row>
    <row r="417" spans="1:10" s="176" customFormat="1" ht="25.5" customHeight="1" x14ac:dyDescent="0.25">
      <c r="A417" s="169"/>
      <c r="B417" s="189" t="s">
        <v>402</v>
      </c>
      <c r="C417" s="185" t="s">
        <v>403</v>
      </c>
      <c r="D417" s="191">
        <f>SUM(D418:D427)</f>
        <v>105229329081</v>
      </c>
      <c r="E417" s="191"/>
      <c r="F417" s="191">
        <f t="shared" ref="F417:G417" si="151">SUM(F418:F427)</f>
        <v>25508678456</v>
      </c>
      <c r="G417" s="191">
        <f t="shared" si="151"/>
        <v>25508678456</v>
      </c>
      <c r="H417" s="236">
        <f t="shared" si="149"/>
        <v>0.24241034965037894</v>
      </c>
      <c r="I417" s="230"/>
      <c r="J417" s="175"/>
    </row>
    <row r="418" spans="1:10" s="176" customFormat="1" ht="25.5" customHeight="1" x14ac:dyDescent="0.25">
      <c r="A418" s="184" t="s">
        <v>89</v>
      </c>
      <c r="B418" s="190" t="s">
        <v>561</v>
      </c>
      <c r="C418" s="183" t="s">
        <v>244</v>
      </c>
      <c r="D418" s="178">
        <v>26706000000</v>
      </c>
      <c r="E418" s="178"/>
      <c r="F418" s="178">
        <v>6549814185</v>
      </c>
      <c r="G418" s="192">
        <f>E418+F418</f>
        <v>6549814185</v>
      </c>
      <c r="H418" s="24">
        <f t="shared" si="149"/>
        <v>0.24525627892608404</v>
      </c>
      <c r="I418" s="231"/>
      <c r="J418" s="175"/>
    </row>
    <row r="419" spans="1:10" s="176" customFormat="1" ht="25.5" customHeight="1" x14ac:dyDescent="0.25">
      <c r="A419" s="188"/>
      <c r="B419" s="178"/>
      <c r="C419" s="193" t="s">
        <v>664</v>
      </c>
      <c r="D419" s="55"/>
      <c r="E419" s="55"/>
      <c r="F419" s="55"/>
      <c r="G419" s="192">
        <f t="shared" ref="G419:G427" si="152">E419+F419</f>
        <v>0</v>
      </c>
      <c r="H419" s="24" t="e">
        <f t="shared" si="149"/>
        <v>#DIV/0!</v>
      </c>
      <c r="I419" s="231"/>
      <c r="J419" s="175"/>
    </row>
    <row r="420" spans="1:10" s="176" customFormat="1" ht="25.5" customHeight="1" x14ac:dyDescent="0.25">
      <c r="A420" s="184" t="s">
        <v>91</v>
      </c>
      <c r="B420" s="190" t="s">
        <v>562</v>
      </c>
      <c r="C420" s="183" t="s">
        <v>245</v>
      </c>
      <c r="D420" s="178">
        <v>16184831606</v>
      </c>
      <c r="E420" s="178"/>
      <c r="F420" s="178">
        <v>5553591878</v>
      </c>
      <c r="G420" s="192">
        <f t="shared" si="152"/>
        <v>5553591878</v>
      </c>
      <c r="H420" s="24">
        <f t="shared" si="149"/>
        <v>0.34313559839208868</v>
      </c>
      <c r="I420" s="231"/>
      <c r="J420" s="175"/>
    </row>
    <row r="421" spans="1:10" s="176" customFormat="1" ht="25.5" customHeight="1" x14ac:dyDescent="0.25">
      <c r="A421" s="188"/>
      <c r="B421" s="178"/>
      <c r="C421" s="193" t="s">
        <v>665</v>
      </c>
      <c r="D421" s="55"/>
      <c r="E421" s="55"/>
      <c r="F421" s="55"/>
      <c r="G421" s="192">
        <f t="shared" si="152"/>
        <v>0</v>
      </c>
      <c r="H421" s="24" t="e">
        <f t="shared" si="149"/>
        <v>#DIV/0!</v>
      </c>
      <c r="I421" s="232"/>
      <c r="J421" s="175"/>
    </row>
    <row r="422" spans="1:10" s="176" customFormat="1" ht="25.5" customHeight="1" x14ac:dyDescent="0.25">
      <c r="A422" s="184" t="s">
        <v>72</v>
      </c>
      <c r="B422" s="190" t="s">
        <v>563</v>
      </c>
      <c r="C422" s="183" t="s">
        <v>246</v>
      </c>
      <c r="D422" s="178">
        <v>45000000000</v>
      </c>
      <c r="E422" s="178"/>
      <c r="F422" s="178">
        <v>13165751117</v>
      </c>
      <c r="G422" s="192">
        <f t="shared" si="152"/>
        <v>13165751117</v>
      </c>
      <c r="H422" s="24">
        <f t="shared" si="149"/>
        <v>0.29257224704444446</v>
      </c>
      <c r="I422" s="232"/>
      <c r="J422" s="175"/>
    </row>
    <row r="423" spans="1:10" s="176" customFormat="1" ht="25.5" customHeight="1" x14ac:dyDescent="0.25">
      <c r="A423" s="188"/>
      <c r="B423" s="178"/>
      <c r="C423" s="193" t="s">
        <v>666</v>
      </c>
      <c r="D423" s="55"/>
      <c r="E423" s="55"/>
      <c r="F423" s="55"/>
      <c r="G423" s="192">
        <f t="shared" si="152"/>
        <v>0</v>
      </c>
      <c r="H423" s="24" t="e">
        <f t="shared" si="149"/>
        <v>#DIV/0!</v>
      </c>
      <c r="I423" s="231"/>
      <c r="J423" s="175"/>
    </row>
    <row r="424" spans="1:10" s="176" customFormat="1" ht="25.5" customHeight="1" x14ac:dyDescent="0.25">
      <c r="A424" s="184" t="s">
        <v>168</v>
      </c>
      <c r="B424" s="190" t="s">
        <v>564</v>
      </c>
      <c r="C424" s="183" t="s">
        <v>247</v>
      </c>
      <c r="D424" s="192">
        <v>1534998000</v>
      </c>
      <c r="E424" s="192"/>
      <c r="F424" s="192">
        <v>239521276</v>
      </c>
      <c r="G424" s="192">
        <f t="shared" si="152"/>
        <v>239521276</v>
      </c>
      <c r="H424" s="24">
        <f t="shared" si="149"/>
        <v>0.15604012252784694</v>
      </c>
      <c r="I424" s="233"/>
      <c r="J424" s="175"/>
    </row>
    <row r="425" spans="1:10" s="176" customFormat="1" ht="25.5" customHeight="1" x14ac:dyDescent="0.25">
      <c r="A425" s="188"/>
      <c r="B425" s="178"/>
      <c r="C425" s="193" t="s">
        <v>667</v>
      </c>
      <c r="D425" s="55"/>
      <c r="E425" s="55"/>
      <c r="F425" s="55"/>
      <c r="G425" s="192">
        <f t="shared" si="152"/>
        <v>0</v>
      </c>
      <c r="H425" s="24" t="e">
        <f t="shared" si="149"/>
        <v>#DIV/0!</v>
      </c>
      <c r="I425" s="232"/>
      <c r="J425" s="175"/>
    </row>
    <row r="426" spans="1:10" s="176" customFormat="1" ht="25.5" customHeight="1" x14ac:dyDescent="0.25">
      <c r="A426" s="184" t="s">
        <v>404</v>
      </c>
      <c r="B426" s="190" t="s">
        <v>565</v>
      </c>
      <c r="C426" s="183" t="s">
        <v>248</v>
      </c>
      <c r="D426" s="178">
        <v>15803499475</v>
      </c>
      <c r="E426" s="178"/>
      <c r="F426" s="178"/>
      <c r="G426" s="192">
        <f t="shared" si="152"/>
        <v>0</v>
      </c>
      <c r="H426" s="24">
        <f t="shared" si="149"/>
        <v>0</v>
      </c>
      <c r="I426" s="232"/>
      <c r="J426" s="175"/>
    </row>
    <row r="427" spans="1:10" s="176" customFormat="1" ht="25.5" customHeight="1" x14ac:dyDescent="0.25">
      <c r="A427" s="188"/>
      <c r="B427" s="178"/>
      <c r="C427" s="193" t="s">
        <v>668</v>
      </c>
      <c r="D427" s="55"/>
      <c r="E427" s="55"/>
      <c r="F427" s="55"/>
      <c r="G427" s="192">
        <f t="shared" si="152"/>
        <v>0</v>
      </c>
      <c r="H427" s="24" t="e">
        <f t="shared" si="149"/>
        <v>#DIV/0!</v>
      </c>
      <c r="I427" s="231"/>
      <c r="J427" s="175"/>
    </row>
    <row r="428" spans="1:10" s="176" customFormat="1" ht="25.5" customHeight="1" x14ac:dyDescent="0.25">
      <c r="A428" s="188"/>
      <c r="B428" s="178"/>
      <c r="C428" s="193"/>
      <c r="D428" s="55"/>
      <c r="E428" s="55"/>
      <c r="F428" s="55"/>
      <c r="G428" s="192"/>
      <c r="H428" s="24"/>
      <c r="I428" s="231"/>
      <c r="J428" s="175"/>
    </row>
    <row r="429" spans="1:10" s="176" customFormat="1" ht="25.5" customHeight="1" x14ac:dyDescent="0.25">
      <c r="A429" s="169" t="s">
        <v>163</v>
      </c>
      <c r="B429" s="189" t="s">
        <v>425</v>
      </c>
      <c r="C429" s="185" t="s">
        <v>428</v>
      </c>
      <c r="D429" s="53">
        <f>SUM(D430+D432)</f>
        <v>0</v>
      </c>
      <c r="E429" s="53"/>
      <c r="F429" s="53">
        <f t="shared" ref="F429:G429" si="153">SUM(F430+F432)</f>
        <v>3084000000</v>
      </c>
      <c r="G429" s="53">
        <f t="shared" si="153"/>
        <v>3084000000</v>
      </c>
      <c r="H429" s="236" t="e">
        <f>G429/D429</f>
        <v>#DIV/0!</v>
      </c>
      <c r="I429" s="231"/>
      <c r="J429" s="175"/>
    </row>
    <row r="430" spans="1:10" s="176" customFormat="1" ht="25.5" customHeight="1" x14ac:dyDescent="0.25">
      <c r="A430" s="188"/>
      <c r="B430" s="189" t="s">
        <v>429</v>
      </c>
      <c r="C430" s="185" t="s">
        <v>430</v>
      </c>
      <c r="D430" s="55">
        <f>D431</f>
        <v>0</v>
      </c>
      <c r="E430" s="55"/>
      <c r="F430" s="55">
        <f>F431</f>
        <v>0</v>
      </c>
      <c r="G430" s="192">
        <f>F430-D430</f>
        <v>0</v>
      </c>
      <c r="H430" s="24"/>
      <c r="I430" s="231"/>
      <c r="J430" s="175"/>
    </row>
    <row r="431" spans="1:10" s="176" customFormat="1" ht="25.5" customHeight="1" x14ac:dyDescent="0.25">
      <c r="A431" s="188"/>
      <c r="B431" s="189" t="s">
        <v>431</v>
      </c>
      <c r="C431" s="185" t="s">
        <v>432</v>
      </c>
      <c r="D431" s="55"/>
      <c r="E431" s="55"/>
      <c r="F431" s="55"/>
      <c r="G431" s="192">
        <f>F431-D431</f>
        <v>0</v>
      </c>
      <c r="H431" s="24"/>
      <c r="I431" s="231"/>
      <c r="J431" s="175"/>
    </row>
    <row r="432" spans="1:10" s="176" customFormat="1" ht="25.5" customHeight="1" x14ac:dyDescent="0.25">
      <c r="A432" s="188"/>
      <c r="B432" s="189" t="s">
        <v>433</v>
      </c>
      <c r="C432" s="185" t="s">
        <v>434</v>
      </c>
      <c r="D432" s="53">
        <f>D433+D435+D436</f>
        <v>0</v>
      </c>
      <c r="E432" s="53"/>
      <c r="F432" s="53">
        <f t="shared" ref="F432:G432" si="154">F433+F435+F436</f>
        <v>3084000000</v>
      </c>
      <c r="G432" s="53">
        <f t="shared" si="154"/>
        <v>3084000000</v>
      </c>
      <c r="H432" s="236" t="e">
        <f t="shared" ref="H432:H446" si="155">G432/D432</f>
        <v>#DIV/0!</v>
      </c>
      <c r="I432" s="231"/>
      <c r="J432" s="175"/>
    </row>
    <row r="433" spans="1:10" s="176" customFormat="1" ht="25.5" customHeight="1" x14ac:dyDescent="0.25">
      <c r="A433" s="188"/>
      <c r="B433" s="189" t="s">
        <v>566</v>
      </c>
      <c r="C433" s="185" t="s">
        <v>445</v>
      </c>
      <c r="D433" s="53">
        <f>D434</f>
        <v>0</v>
      </c>
      <c r="E433" s="53"/>
      <c r="F433" s="53">
        <f t="shared" ref="F433:G433" si="156">F434</f>
        <v>3084000000</v>
      </c>
      <c r="G433" s="53">
        <f t="shared" si="156"/>
        <v>3084000000</v>
      </c>
      <c r="H433" s="236" t="e">
        <f t="shared" si="155"/>
        <v>#DIV/0!</v>
      </c>
      <c r="I433" s="231"/>
      <c r="J433" s="175"/>
    </row>
    <row r="434" spans="1:10" s="176" customFormat="1" ht="25.5" customHeight="1" x14ac:dyDescent="0.25">
      <c r="A434" s="188"/>
      <c r="B434" s="189"/>
      <c r="C434" s="35" t="s">
        <v>602</v>
      </c>
      <c r="D434" s="53"/>
      <c r="E434" s="53"/>
      <c r="F434" s="53">
        <v>3084000000</v>
      </c>
      <c r="G434" s="191">
        <f>E434+F434</f>
        <v>3084000000</v>
      </c>
      <c r="H434" s="236" t="e">
        <f t="shared" si="155"/>
        <v>#DIV/0!</v>
      </c>
      <c r="I434" s="231"/>
      <c r="J434" s="175"/>
    </row>
    <row r="435" spans="1:10" s="176" customFormat="1" ht="25.5" customHeight="1" x14ac:dyDescent="0.25">
      <c r="A435" s="188"/>
      <c r="B435" s="189"/>
      <c r="C435" s="35" t="s">
        <v>603</v>
      </c>
      <c r="D435" s="53"/>
      <c r="E435" s="53"/>
      <c r="F435" s="53"/>
      <c r="G435" s="191">
        <f t="shared" ref="G435:G438" si="157">E435+F435</f>
        <v>0</v>
      </c>
      <c r="H435" s="236" t="e">
        <f t="shared" si="155"/>
        <v>#DIV/0!</v>
      </c>
      <c r="I435" s="231"/>
      <c r="J435" s="175"/>
    </row>
    <row r="436" spans="1:10" s="176" customFormat="1" ht="25.5" customHeight="1" x14ac:dyDescent="0.25">
      <c r="A436" s="188"/>
      <c r="B436" s="189"/>
      <c r="C436" s="35" t="s">
        <v>604</v>
      </c>
      <c r="D436" s="53">
        <f>SUM(D437:D438)</f>
        <v>0</v>
      </c>
      <c r="E436" s="53"/>
      <c r="F436" s="53">
        <f t="shared" ref="F436" si="158">SUM(F437:F438)</f>
        <v>0</v>
      </c>
      <c r="G436" s="191">
        <f t="shared" si="157"/>
        <v>0</v>
      </c>
      <c r="H436" s="236" t="e">
        <f t="shared" si="155"/>
        <v>#DIV/0!</v>
      </c>
      <c r="I436" s="231"/>
      <c r="J436" s="175"/>
    </row>
    <row r="437" spans="1:10" s="176" customFormat="1" ht="25.5" customHeight="1" x14ac:dyDescent="0.25">
      <c r="A437" s="188"/>
      <c r="B437" s="189"/>
      <c r="C437" s="193" t="s">
        <v>605</v>
      </c>
      <c r="D437" s="55"/>
      <c r="E437" s="55"/>
      <c r="F437" s="55"/>
      <c r="G437" s="191">
        <f t="shared" si="157"/>
        <v>0</v>
      </c>
      <c r="H437" s="24" t="e">
        <f t="shared" si="155"/>
        <v>#DIV/0!</v>
      </c>
      <c r="I437" s="231"/>
      <c r="J437" s="175"/>
    </row>
    <row r="438" spans="1:10" s="176" customFormat="1" ht="25.5" customHeight="1" x14ac:dyDescent="0.25">
      <c r="A438" s="188"/>
      <c r="B438" s="178"/>
      <c r="C438" s="193" t="s">
        <v>606</v>
      </c>
      <c r="D438" s="55"/>
      <c r="E438" s="55"/>
      <c r="F438" s="55"/>
      <c r="G438" s="191">
        <f t="shared" si="157"/>
        <v>0</v>
      </c>
      <c r="H438" s="24" t="e">
        <f t="shared" si="155"/>
        <v>#DIV/0!</v>
      </c>
      <c r="I438" s="231"/>
      <c r="J438" s="175"/>
    </row>
    <row r="439" spans="1:10" s="176" customFormat="1" ht="25.5" customHeight="1" x14ac:dyDescent="0.25">
      <c r="A439" s="129" t="s">
        <v>241</v>
      </c>
      <c r="B439" s="128" t="s">
        <v>242</v>
      </c>
      <c r="C439" s="41" t="s">
        <v>243</v>
      </c>
      <c r="D439" s="42">
        <f>D440</f>
        <v>0</v>
      </c>
      <c r="E439" s="42"/>
      <c r="F439" s="42">
        <f t="shared" ref="F439:G440" si="159">F440</f>
        <v>0</v>
      </c>
      <c r="G439" s="42">
        <f t="shared" si="159"/>
        <v>0</v>
      </c>
      <c r="H439" s="237" t="e">
        <f t="shared" si="155"/>
        <v>#DIV/0!</v>
      </c>
      <c r="I439" s="231"/>
      <c r="J439" s="175"/>
    </row>
    <row r="440" spans="1:10" s="176" customFormat="1" ht="41.25" customHeight="1" x14ac:dyDescent="0.25">
      <c r="A440" s="168" t="s">
        <v>166</v>
      </c>
      <c r="B440" s="189" t="s">
        <v>418</v>
      </c>
      <c r="C440" s="30" t="s">
        <v>419</v>
      </c>
      <c r="D440" s="191">
        <f>D441</f>
        <v>0</v>
      </c>
      <c r="E440" s="191"/>
      <c r="F440" s="191">
        <f t="shared" si="159"/>
        <v>0</v>
      </c>
      <c r="G440" s="191">
        <f t="shared" si="159"/>
        <v>0</v>
      </c>
      <c r="H440" s="236" t="e">
        <f t="shared" si="155"/>
        <v>#DIV/0!</v>
      </c>
      <c r="I440" s="231"/>
      <c r="J440" s="175"/>
    </row>
    <row r="441" spans="1:10" s="176" customFormat="1" ht="25.5" customHeight="1" x14ac:dyDescent="0.25">
      <c r="A441" s="169"/>
      <c r="B441" s="189" t="s">
        <v>420</v>
      </c>
      <c r="C441" s="185" t="s">
        <v>421</v>
      </c>
      <c r="D441" s="191">
        <f>D442+D456</f>
        <v>0</v>
      </c>
      <c r="E441" s="191"/>
      <c r="F441" s="191">
        <f t="shared" ref="F441:G441" si="160">F442+F456</f>
        <v>0</v>
      </c>
      <c r="G441" s="191">
        <f t="shared" si="160"/>
        <v>0</v>
      </c>
      <c r="H441" s="236" t="e">
        <f t="shared" si="155"/>
        <v>#DIV/0!</v>
      </c>
      <c r="I441" s="231"/>
      <c r="J441" s="175"/>
    </row>
    <row r="442" spans="1:10" s="176" customFormat="1" ht="25.5" customHeight="1" x14ac:dyDescent="0.25">
      <c r="A442" s="168" t="s">
        <v>89</v>
      </c>
      <c r="B442" s="189" t="s">
        <v>422</v>
      </c>
      <c r="C442" s="185" t="s">
        <v>423</v>
      </c>
      <c r="D442" s="191">
        <f>D443</f>
        <v>0</v>
      </c>
      <c r="E442" s="191"/>
      <c r="F442" s="191">
        <f t="shared" ref="F442:G442" si="161">F443</f>
        <v>0</v>
      </c>
      <c r="G442" s="191">
        <f t="shared" si="161"/>
        <v>0</v>
      </c>
      <c r="H442" s="236" t="e">
        <f t="shared" si="155"/>
        <v>#DIV/0!</v>
      </c>
      <c r="I442" s="231"/>
      <c r="J442" s="175"/>
    </row>
    <row r="443" spans="1:10" s="176" customFormat="1" ht="25.5" customHeight="1" x14ac:dyDescent="0.25">
      <c r="A443" s="169"/>
      <c r="B443" s="190" t="s">
        <v>424</v>
      </c>
      <c r="C443" s="183" t="s">
        <v>423</v>
      </c>
      <c r="D443" s="192"/>
      <c r="E443" s="192"/>
      <c r="F443" s="192"/>
      <c r="G443" s="192">
        <f>E443+F443</f>
        <v>0</v>
      </c>
      <c r="H443" s="24" t="e">
        <f t="shared" si="155"/>
        <v>#DIV/0!</v>
      </c>
      <c r="I443" s="231"/>
      <c r="J443" s="175"/>
    </row>
    <row r="444" spans="1:10" s="176" customFormat="1" ht="25.5" customHeight="1" x14ac:dyDescent="0.25">
      <c r="A444" s="169"/>
      <c r="B444" s="190"/>
      <c r="C444" s="193" t="s">
        <v>607</v>
      </c>
      <c r="D444" s="192"/>
      <c r="E444" s="192"/>
      <c r="F444" s="192"/>
      <c r="G444" s="192"/>
      <c r="H444" s="24" t="e">
        <f t="shared" si="155"/>
        <v>#DIV/0!</v>
      </c>
      <c r="I444" s="231"/>
      <c r="J444" s="175"/>
    </row>
    <row r="445" spans="1:10" s="176" customFormat="1" ht="25.5" customHeight="1" x14ac:dyDescent="0.25">
      <c r="A445" s="169"/>
      <c r="B445" s="190"/>
      <c r="C445" s="193" t="s">
        <v>608</v>
      </c>
      <c r="D445" s="192"/>
      <c r="E445" s="192"/>
      <c r="F445" s="192"/>
      <c r="G445" s="192"/>
      <c r="H445" s="24" t="e">
        <f t="shared" si="155"/>
        <v>#DIV/0!</v>
      </c>
      <c r="I445" s="231"/>
      <c r="J445" s="175"/>
    </row>
    <row r="446" spans="1:10" s="176" customFormat="1" ht="25.5" customHeight="1" x14ac:dyDescent="0.25">
      <c r="A446" s="169"/>
      <c r="B446" s="190"/>
      <c r="C446" s="193" t="s">
        <v>609</v>
      </c>
      <c r="D446" s="192"/>
      <c r="E446" s="192"/>
      <c r="F446" s="192"/>
      <c r="G446" s="192"/>
      <c r="H446" s="24" t="e">
        <f t="shared" si="155"/>
        <v>#DIV/0!</v>
      </c>
      <c r="I446" s="231"/>
      <c r="J446" s="175"/>
    </row>
    <row r="447" spans="1:10" s="176" customFormat="1" ht="25.5" customHeight="1" x14ac:dyDescent="0.25">
      <c r="A447" s="169"/>
      <c r="B447" s="190"/>
      <c r="C447" s="183" t="s">
        <v>610</v>
      </c>
      <c r="D447" s="192"/>
      <c r="E447" s="192"/>
      <c r="F447" s="192"/>
      <c r="G447" s="192"/>
      <c r="H447" s="24"/>
      <c r="I447" s="231"/>
      <c r="J447" s="175"/>
    </row>
    <row r="448" spans="1:10" s="176" customFormat="1" ht="25.5" customHeight="1" x14ac:dyDescent="0.25">
      <c r="A448" s="169"/>
      <c r="B448" s="190"/>
      <c r="C448" s="183" t="s">
        <v>611</v>
      </c>
      <c r="D448" s="192"/>
      <c r="E448" s="192"/>
      <c r="F448" s="192"/>
      <c r="G448" s="192"/>
      <c r="H448" s="24"/>
      <c r="I448" s="231"/>
      <c r="J448" s="175"/>
    </row>
    <row r="449" spans="1:10" s="176" customFormat="1" ht="25.5" customHeight="1" x14ac:dyDescent="0.25">
      <c r="A449" s="169"/>
      <c r="B449" s="190"/>
      <c r="C449" s="183" t="s">
        <v>612</v>
      </c>
      <c r="D449" s="192"/>
      <c r="E449" s="192"/>
      <c r="F449" s="192"/>
      <c r="G449" s="192"/>
      <c r="H449" s="24"/>
      <c r="I449" s="231"/>
      <c r="J449" s="175"/>
    </row>
    <row r="450" spans="1:10" s="176" customFormat="1" ht="25.5" customHeight="1" x14ac:dyDescent="0.25">
      <c r="A450" s="169"/>
      <c r="B450" s="190"/>
      <c r="C450" s="183" t="s">
        <v>613</v>
      </c>
      <c r="D450" s="192"/>
      <c r="E450" s="192"/>
      <c r="F450" s="192"/>
      <c r="G450" s="192"/>
      <c r="H450" s="24"/>
      <c r="I450" s="231"/>
      <c r="J450" s="175"/>
    </row>
    <row r="451" spans="1:10" s="176" customFormat="1" ht="25.5" customHeight="1" x14ac:dyDescent="0.25">
      <c r="A451" s="169"/>
      <c r="B451" s="190"/>
      <c r="C451" s="193" t="s">
        <v>614</v>
      </c>
      <c r="D451" s="192"/>
      <c r="E451" s="192"/>
      <c r="F451" s="192"/>
      <c r="G451" s="192"/>
      <c r="H451" s="24" t="e">
        <f>G451/D451</f>
        <v>#DIV/0!</v>
      </c>
      <c r="I451" s="231"/>
      <c r="J451" s="175"/>
    </row>
    <row r="452" spans="1:10" s="176" customFormat="1" ht="25.5" customHeight="1" x14ac:dyDescent="0.25">
      <c r="A452" s="169"/>
      <c r="B452" s="190"/>
      <c r="C452" s="183" t="s">
        <v>616</v>
      </c>
      <c r="D452" s="192"/>
      <c r="E452" s="192"/>
      <c r="F452" s="192"/>
      <c r="G452" s="192"/>
      <c r="H452" s="24"/>
      <c r="I452" s="231"/>
      <c r="J452" s="175"/>
    </row>
    <row r="453" spans="1:10" s="176" customFormat="1" ht="25.5" customHeight="1" x14ac:dyDescent="0.25">
      <c r="A453" s="169"/>
      <c r="B453" s="190"/>
      <c r="C453" s="183" t="s">
        <v>615</v>
      </c>
      <c r="D453" s="192"/>
      <c r="E453" s="192"/>
      <c r="F453" s="192"/>
      <c r="G453" s="192"/>
      <c r="H453" s="24"/>
      <c r="I453" s="231"/>
      <c r="J453" s="175"/>
    </row>
    <row r="454" spans="1:10" s="176" customFormat="1" ht="25.5" customHeight="1" x14ac:dyDescent="0.25">
      <c r="A454" s="169"/>
      <c r="B454" s="190"/>
      <c r="C454" s="183" t="s">
        <v>617</v>
      </c>
      <c r="D454" s="192"/>
      <c r="E454" s="192"/>
      <c r="F454" s="192"/>
      <c r="G454" s="192"/>
      <c r="H454" s="24"/>
      <c r="I454" s="231"/>
      <c r="J454" s="175"/>
    </row>
    <row r="455" spans="1:10" s="176" customFormat="1" ht="25.5" customHeight="1" x14ac:dyDescent="0.25">
      <c r="A455" s="169"/>
      <c r="B455" s="190"/>
      <c r="C455" s="183"/>
      <c r="D455" s="192"/>
      <c r="E455" s="192"/>
      <c r="F455" s="192"/>
      <c r="G455" s="192"/>
      <c r="H455" s="24"/>
      <c r="I455" s="231"/>
      <c r="J455" s="175"/>
    </row>
    <row r="456" spans="1:10" s="176" customFormat="1" ht="25.5" customHeight="1" x14ac:dyDescent="0.25">
      <c r="A456" s="168" t="s">
        <v>91</v>
      </c>
      <c r="B456" s="189" t="s">
        <v>618</v>
      </c>
      <c r="C456" s="185" t="s">
        <v>620</v>
      </c>
      <c r="D456" s="191">
        <f>D457</f>
        <v>0</v>
      </c>
      <c r="E456" s="191"/>
      <c r="F456" s="191">
        <f t="shared" ref="F456:G456" si="162">F457</f>
        <v>0</v>
      </c>
      <c r="G456" s="191">
        <f t="shared" si="162"/>
        <v>0</v>
      </c>
      <c r="H456" s="236" t="e">
        <f>G456/D456</f>
        <v>#DIV/0!</v>
      </c>
      <c r="I456" s="231"/>
      <c r="J456" s="175"/>
    </row>
    <row r="457" spans="1:10" s="176" customFormat="1" ht="32.25" customHeight="1" x14ac:dyDescent="0.25">
      <c r="A457" s="169"/>
      <c r="B457" s="190" t="s">
        <v>619</v>
      </c>
      <c r="C457" s="58" t="s">
        <v>621</v>
      </c>
      <c r="D457" s="192">
        <v>0</v>
      </c>
      <c r="E457" s="192"/>
      <c r="F457" s="192"/>
      <c r="G457" s="192"/>
      <c r="H457" s="24" t="e">
        <f>G457/D457</f>
        <v>#DIV/0!</v>
      </c>
      <c r="I457" s="231"/>
      <c r="J457" s="175"/>
    </row>
    <row r="458" spans="1:10" s="176" customFormat="1" ht="25.5" customHeight="1" x14ac:dyDescent="0.25">
      <c r="A458" s="169"/>
      <c r="B458" s="190"/>
      <c r="C458" s="183"/>
      <c r="D458" s="192"/>
      <c r="E458" s="192"/>
      <c r="F458" s="192"/>
      <c r="G458" s="192"/>
      <c r="H458" s="24"/>
      <c r="I458" s="231"/>
      <c r="J458" s="175"/>
    </row>
    <row r="459" spans="1:10" s="176" customFormat="1" ht="30.75" customHeight="1" thickBot="1" x14ac:dyDescent="0.3">
      <c r="A459" s="59"/>
      <c r="B459" s="60"/>
      <c r="C459" s="61" t="s">
        <v>249</v>
      </c>
      <c r="D459" s="62">
        <f>D11</f>
        <v>1141467482471</v>
      </c>
      <c r="E459" s="62">
        <f t="shared" ref="E459:G459" si="163">E11</f>
        <v>225020271172.76001</v>
      </c>
      <c r="F459" s="62">
        <f t="shared" si="163"/>
        <v>144904016841.04999</v>
      </c>
      <c r="G459" s="62">
        <f t="shared" si="163"/>
        <v>369924288013.81</v>
      </c>
      <c r="H459" s="242">
        <f>G459/D459</f>
        <v>0.32407781535135255</v>
      </c>
      <c r="I459" s="234"/>
      <c r="J459" s="175"/>
    </row>
    <row r="460" spans="1:10" s="176" customFormat="1" hidden="1" x14ac:dyDescent="0.25">
      <c r="A460" s="63"/>
      <c r="B460" s="64"/>
      <c r="C460" s="65"/>
      <c r="D460" s="66"/>
      <c r="E460" s="66"/>
      <c r="F460" s="66"/>
      <c r="G460" s="66"/>
      <c r="H460" s="66"/>
      <c r="I460" s="67" t="e">
        <f>SUM(F460/D460)</f>
        <v>#DIV/0!</v>
      </c>
      <c r="J460" s="175"/>
    </row>
    <row r="461" spans="1:10" s="176" customFormat="1" hidden="1" x14ac:dyDescent="0.25">
      <c r="A461" s="68" t="s">
        <v>250</v>
      </c>
      <c r="B461" s="69" t="s">
        <v>46</v>
      </c>
      <c r="C461" s="70" t="s">
        <v>251</v>
      </c>
      <c r="D461" s="71" t="e">
        <f>SUM(#REF!-#REF!)</f>
        <v>#REF!</v>
      </c>
      <c r="E461" s="71"/>
      <c r="F461" s="71" t="e">
        <f>SUM(#REF!-#REF!)</f>
        <v>#REF!</v>
      </c>
      <c r="G461" s="71"/>
      <c r="H461" s="71"/>
      <c r="I461" s="72" t="e">
        <f>SUM(F461/#REF!)</f>
        <v>#REF!</v>
      </c>
      <c r="J461" s="175"/>
    </row>
    <row r="462" spans="1:10" s="176" customFormat="1" hidden="1" x14ac:dyDescent="0.25">
      <c r="A462" s="68"/>
      <c r="B462" s="69" t="s">
        <v>252</v>
      </c>
      <c r="C462" s="70" t="s">
        <v>253</v>
      </c>
      <c r="D462" s="71" t="e">
        <f>SUM(#REF!-#REF!)</f>
        <v>#REF!</v>
      </c>
      <c r="E462" s="71"/>
      <c r="F462" s="71" t="e">
        <f>SUM(#REF!-#REF!)</f>
        <v>#REF!</v>
      </c>
      <c r="G462" s="71"/>
      <c r="H462" s="71"/>
      <c r="I462" s="72" t="e">
        <f>SUM(F462/#REF!)</f>
        <v>#REF!</v>
      </c>
      <c r="J462" s="175"/>
    </row>
    <row r="463" spans="1:10" s="176" customFormat="1" hidden="1" x14ac:dyDescent="0.25">
      <c r="A463" s="68"/>
      <c r="B463" s="69" t="s">
        <v>254</v>
      </c>
      <c r="C463" s="70" t="s">
        <v>255</v>
      </c>
      <c r="D463" s="71" t="e">
        <f>SUM(#REF!-#REF!)</f>
        <v>#REF!</v>
      </c>
      <c r="E463" s="71"/>
      <c r="F463" s="71" t="e">
        <f>SUM(#REF!-#REF!)</f>
        <v>#REF!</v>
      </c>
      <c r="G463" s="71"/>
      <c r="H463" s="71"/>
      <c r="I463" s="72" t="e">
        <f>SUM(F463/#REF!)</f>
        <v>#REF!</v>
      </c>
      <c r="J463" s="175"/>
    </row>
    <row r="464" spans="1:10" s="176" customFormat="1" hidden="1" x14ac:dyDescent="0.25">
      <c r="A464" s="68"/>
      <c r="B464" s="69" t="s">
        <v>256</v>
      </c>
      <c r="C464" s="70" t="s">
        <v>257</v>
      </c>
      <c r="D464" s="71" t="e">
        <f>SUM(#REF!-#REF!)</f>
        <v>#REF!</v>
      </c>
      <c r="E464" s="71"/>
      <c r="F464" s="71" t="e">
        <f>SUM(#REF!-#REF!)</f>
        <v>#REF!</v>
      </c>
      <c r="G464" s="71"/>
      <c r="H464" s="71"/>
      <c r="I464" s="72">
        <v>1</v>
      </c>
      <c r="J464" s="175"/>
    </row>
    <row r="465" spans="1:10" s="176" customFormat="1" hidden="1" x14ac:dyDescent="0.25">
      <c r="A465" s="68"/>
      <c r="B465" s="69" t="s">
        <v>258</v>
      </c>
      <c r="C465" s="70" t="s">
        <v>259</v>
      </c>
      <c r="D465" s="71" t="e">
        <f>SUM(#REF!-#REF!)</f>
        <v>#REF!</v>
      </c>
      <c r="E465" s="71"/>
      <c r="F465" s="71" t="e">
        <f>SUM(#REF!-#REF!)</f>
        <v>#REF!</v>
      </c>
      <c r="G465" s="71"/>
      <c r="H465" s="71"/>
      <c r="I465" s="72">
        <v>1</v>
      </c>
      <c r="J465" s="175"/>
    </row>
    <row r="466" spans="1:10" s="176" customFormat="1" hidden="1" x14ac:dyDescent="0.25">
      <c r="A466" s="68"/>
      <c r="B466" s="73" t="s">
        <v>260</v>
      </c>
      <c r="C466" s="74" t="s">
        <v>261</v>
      </c>
      <c r="D466" s="38" t="e">
        <f>SUM(#REF!-#REF!)</f>
        <v>#REF!</v>
      </c>
      <c r="E466" s="38"/>
      <c r="F466" s="38" t="e">
        <f>SUM(#REF!-#REF!)</f>
        <v>#REF!</v>
      </c>
      <c r="G466" s="38"/>
      <c r="H466" s="38"/>
      <c r="I466" s="75">
        <v>1</v>
      </c>
      <c r="J466" s="175"/>
    </row>
    <row r="467" spans="1:10" s="176" customFormat="1" hidden="1" x14ac:dyDescent="0.25">
      <c r="A467" s="68"/>
      <c r="B467" s="76"/>
      <c r="C467" s="74" t="s">
        <v>262</v>
      </c>
      <c r="D467" s="38" t="e">
        <f>SUM(#REF!-#REF!)</f>
        <v>#REF!</v>
      </c>
      <c r="E467" s="38"/>
      <c r="F467" s="38" t="e">
        <f>SUM(#REF!-#REF!)</f>
        <v>#REF!</v>
      </c>
      <c r="G467" s="38"/>
      <c r="H467" s="38"/>
      <c r="I467" s="75">
        <v>1</v>
      </c>
      <c r="J467" s="175"/>
    </row>
    <row r="468" spans="1:10" s="176" customFormat="1" ht="18" hidden="1" customHeight="1" x14ac:dyDescent="0.25">
      <c r="A468" s="68"/>
      <c r="B468" s="77"/>
      <c r="C468" s="78" t="s">
        <v>263</v>
      </c>
      <c r="D468" s="38" t="e">
        <f>SUM(#REF!-#REF!)</f>
        <v>#REF!</v>
      </c>
      <c r="E468" s="38"/>
      <c r="F468" s="38" t="e">
        <f>SUM(#REF!-#REF!)</f>
        <v>#REF!</v>
      </c>
      <c r="G468" s="38"/>
      <c r="H468" s="38"/>
      <c r="I468" s="72" t="e">
        <f>SUM(F468/#REF!)</f>
        <v>#REF!</v>
      </c>
      <c r="J468" s="175"/>
    </row>
    <row r="469" spans="1:10" s="175" customFormat="1" x14ac:dyDescent="0.25">
      <c r="A469" s="1"/>
      <c r="B469" s="79"/>
      <c r="C469" s="306"/>
      <c r="D469" s="80"/>
      <c r="E469" s="80"/>
      <c r="F469" s="80"/>
      <c r="G469" s="80"/>
      <c r="H469" s="80"/>
      <c r="I469" s="306"/>
    </row>
    <row r="470" spans="1:10" s="175" customFormat="1" x14ac:dyDescent="0.25">
      <c r="A470" s="1"/>
      <c r="B470" s="79"/>
      <c r="C470" s="306"/>
      <c r="D470" s="194"/>
      <c r="E470" s="194"/>
      <c r="F470" s="194"/>
      <c r="G470" s="194"/>
      <c r="H470" s="194"/>
    </row>
    <row r="471" spans="1:10" s="175" customFormat="1" x14ac:dyDescent="0.25">
      <c r="A471" s="287" t="s">
        <v>628</v>
      </c>
      <c r="B471" s="288"/>
      <c r="C471" s="306"/>
      <c r="G471" s="291" t="s">
        <v>648</v>
      </c>
      <c r="H471" s="194"/>
    </row>
    <row r="472" spans="1:10" s="175" customFormat="1" x14ac:dyDescent="0.25">
      <c r="A472" s="1"/>
      <c r="B472" s="79"/>
      <c r="C472" s="306"/>
      <c r="G472" s="291" t="s">
        <v>630</v>
      </c>
      <c r="H472" s="201"/>
    </row>
    <row r="473" spans="1:10" s="175" customFormat="1" x14ac:dyDescent="0.25">
      <c r="A473" s="1"/>
      <c r="B473" s="79"/>
      <c r="C473" s="306"/>
      <c r="G473" s="291"/>
      <c r="H473" s="195"/>
    </row>
    <row r="474" spans="1:10" s="175" customFormat="1" x14ac:dyDescent="0.25">
      <c r="A474" s="1"/>
      <c r="B474" s="79"/>
      <c r="C474" s="306"/>
      <c r="G474" s="291"/>
      <c r="H474" s="195"/>
    </row>
    <row r="475" spans="1:10" s="175" customFormat="1" x14ac:dyDescent="0.25">
      <c r="A475" s="1"/>
      <c r="B475" s="79"/>
      <c r="C475" s="306"/>
      <c r="G475" s="291"/>
      <c r="H475" s="195"/>
    </row>
    <row r="476" spans="1:10" s="175" customFormat="1" x14ac:dyDescent="0.25">
      <c r="A476" s="1"/>
      <c r="B476" s="79"/>
      <c r="C476" s="306"/>
      <c r="G476" s="292" t="s">
        <v>579</v>
      </c>
      <c r="H476" s="195"/>
    </row>
    <row r="477" spans="1:10" s="175" customFormat="1" x14ac:dyDescent="0.25">
      <c r="A477" s="1"/>
      <c r="B477" s="79"/>
      <c r="C477" s="306"/>
      <c r="G477" s="291" t="s">
        <v>577</v>
      </c>
      <c r="H477" s="201"/>
    </row>
    <row r="478" spans="1:10" x14ac:dyDescent="0.25">
      <c r="G478" s="291" t="s">
        <v>576</v>
      </c>
    </row>
  </sheetData>
  <mergeCells count="11">
    <mergeCell ref="A7:A8"/>
    <mergeCell ref="B7:B8"/>
    <mergeCell ref="C7:C8"/>
    <mergeCell ref="E7:G7"/>
    <mergeCell ref="H7:H8"/>
    <mergeCell ref="I7:I8"/>
    <mergeCell ref="B2:C2"/>
    <mergeCell ref="B3:C3"/>
    <mergeCell ref="B4:C4"/>
    <mergeCell ref="B5:C5"/>
    <mergeCell ref="F6:H6"/>
  </mergeCells>
  <pageMargins left="0.59" right="0.15748031496062992" top="1.27" bottom="0.47244094488188981" header="0.39370078740157483" footer="0.23622047244094491"/>
  <pageSetup paperSize="9" scale="55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M62"/>
  <sheetViews>
    <sheetView zoomScale="79" zoomScaleNormal="79" workbookViewId="0">
      <selection activeCell="J22" sqref="J22"/>
    </sheetView>
  </sheetViews>
  <sheetFormatPr defaultColWidth="9.28515625" defaultRowHeight="13.15" customHeight="1" x14ac:dyDescent="0.25"/>
  <cols>
    <col min="1" max="1" width="6.7109375" style="113" customWidth="1"/>
    <col min="2" max="2" width="16.140625" style="113" customWidth="1"/>
    <col min="3" max="3" width="56" style="81" customWidth="1"/>
    <col min="4" max="4" width="29.5703125" style="81" customWidth="1"/>
    <col min="5" max="5" width="29.140625" style="81" customWidth="1"/>
    <col min="6" max="6" width="28.42578125" style="81" customWidth="1"/>
    <col min="7" max="7" width="28.85546875" style="81" customWidth="1"/>
    <col min="8" max="8" width="12.85546875" style="81" bestFit="1" customWidth="1"/>
    <col min="9" max="9" width="27.7109375" style="271" bestFit="1" customWidth="1"/>
    <col min="10" max="10" width="33" style="271" customWidth="1"/>
    <col min="11" max="11" width="26.5703125" style="81" bestFit="1" customWidth="1"/>
    <col min="12" max="12" width="20.85546875" style="81" bestFit="1" customWidth="1"/>
    <col min="13" max="13" width="23.5703125" style="81" customWidth="1"/>
    <col min="14" max="30" width="9.28515625" style="81" customWidth="1"/>
    <col min="31" max="16384" width="9.28515625" style="81"/>
  </cols>
  <sheetData>
    <row r="2" spans="1:13" ht="17.25" customHeight="1" x14ac:dyDescent="0.25">
      <c r="B2" s="452" t="s">
        <v>0</v>
      </c>
      <c r="C2" s="452"/>
      <c r="D2" s="452"/>
      <c r="E2" s="5" t="s">
        <v>486</v>
      </c>
      <c r="F2" s="5"/>
      <c r="G2" s="175"/>
      <c r="H2" s="175"/>
    </row>
    <row r="3" spans="1:13" ht="17.25" customHeight="1" x14ac:dyDescent="0.25">
      <c r="B3" s="445" t="s">
        <v>480</v>
      </c>
      <c r="C3" s="445"/>
      <c r="D3" s="445"/>
      <c r="E3" s="5" t="s">
        <v>631</v>
      </c>
      <c r="F3" s="5"/>
      <c r="G3" s="175"/>
      <c r="H3" s="175"/>
    </row>
    <row r="4" spans="1:13" ht="23.25" customHeight="1" x14ac:dyDescent="0.25">
      <c r="B4" s="453" t="s">
        <v>481</v>
      </c>
      <c r="C4" s="453"/>
      <c r="D4" s="453"/>
      <c r="E4" s="6" t="s">
        <v>649</v>
      </c>
      <c r="F4" s="6"/>
      <c r="G4" s="175"/>
      <c r="H4" s="175"/>
    </row>
    <row r="5" spans="1:13" ht="23.25" customHeight="1" x14ac:dyDescent="0.25">
      <c r="B5" s="453"/>
      <c r="C5" s="453"/>
      <c r="D5" s="6"/>
      <c r="E5" s="6"/>
      <c r="F5" s="175"/>
      <c r="G5" s="175"/>
      <c r="H5" s="175"/>
    </row>
    <row r="6" spans="1:13" ht="21" customHeight="1" x14ac:dyDescent="0.25">
      <c r="B6" s="308"/>
      <c r="C6" s="308"/>
      <c r="D6" s="7"/>
      <c r="E6" s="7"/>
      <c r="F6" s="449"/>
      <c r="G6" s="449"/>
      <c r="H6" s="449"/>
    </row>
    <row r="7" spans="1:13" ht="21" customHeight="1" thickBot="1" x14ac:dyDescent="0.3">
      <c r="B7" s="308"/>
      <c r="C7" s="308"/>
      <c r="D7" s="7"/>
      <c r="E7" s="7"/>
      <c r="F7" s="449"/>
      <c r="G7" s="449"/>
      <c r="H7" s="449"/>
    </row>
    <row r="8" spans="1:13" s="83" customFormat="1" ht="23.25" customHeight="1" x14ac:dyDescent="0.25">
      <c r="A8" s="435" t="s">
        <v>2</v>
      </c>
      <c r="B8" s="437" t="s">
        <v>3</v>
      </c>
      <c r="C8" s="437" t="s">
        <v>4</v>
      </c>
      <c r="D8" s="202" t="s">
        <v>5</v>
      </c>
      <c r="E8" s="441" t="s">
        <v>475</v>
      </c>
      <c r="F8" s="441"/>
      <c r="G8" s="441"/>
      <c r="H8" s="454" t="s">
        <v>6</v>
      </c>
      <c r="I8" s="272"/>
      <c r="J8" s="272"/>
    </row>
    <row r="9" spans="1:13" s="83" customFormat="1" ht="23.25" customHeight="1" x14ac:dyDescent="0.25">
      <c r="A9" s="436"/>
      <c r="B9" s="438"/>
      <c r="C9" s="438"/>
      <c r="D9" s="203" t="s">
        <v>632</v>
      </c>
      <c r="E9" s="251" t="s">
        <v>476</v>
      </c>
      <c r="F9" s="251" t="s">
        <v>477</v>
      </c>
      <c r="G9" s="251" t="s">
        <v>478</v>
      </c>
      <c r="H9" s="455"/>
      <c r="I9" s="272"/>
      <c r="J9" s="272"/>
    </row>
    <row r="10" spans="1:13" ht="15.75" customHeight="1" x14ac:dyDescent="0.25">
      <c r="A10" s="11">
        <v>1</v>
      </c>
      <c r="B10" s="12">
        <v>2</v>
      </c>
      <c r="C10" s="13">
        <v>3</v>
      </c>
      <c r="D10" s="14">
        <v>4</v>
      </c>
      <c r="E10" s="14">
        <v>5</v>
      </c>
      <c r="F10" s="14">
        <v>6</v>
      </c>
      <c r="G10" s="15" t="s">
        <v>582</v>
      </c>
      <c r="H10" s="235" t="s">
        <v>583</v>
      </c>
    </row>
    <row r="11" spans="1:13" ht="20.25" customHeight="1" x14ac:dyDescent="0.25">
      <c r="A11" s="318"/>
      <c r="B11" s="199" t="s">
        <v>473</v>
      </c>
      <c r="C11" s="200" t="s">
        <v>9</v>
      </c>
      <c r="D11" s="275">
        <f>D36</f>
        <v>1141467482471</v>
      </c>
      <c r="E11" s="275">
        <f>E12+E20+E31</f>
        <v>225020271172.76001</v>
      </c>
      <c r="F11" s="275">
        <f t="shared" ref="F11:G11" si="0">F12+F20+F31</f>
        <v>144904016841.04999</v>
      </c>
      <c r="G11" s="275">
        <f t="shared" si="0"/>
        <v>369924288013.81</v>
      </c>
      <c r="H11" s="276">
        <f>G11/D11</f>
        <v>0.32407781535135255</v>
      </c>
      <c r="I11" s="417"/>
      <c r="J11" s="417"/>
      <c r="K11" s="417"/>
      <c r="L11" s="417"/>
    </row>
    <row r="12" spans="1:13" ht="20.25" customHeight="1" x14ac:dyDescent="0.25">
      <c r="A12" s="149" t="s">
        <v>426</v>
      </c>
      <c r="B12" s="150" t="s">
        <v>11</v>
      </c>
      <c r="C12" s="151" t="s">
        <v>443</v>
      </c>
      <c r="D12" s="152">
        <f>SUM(D13+D14+D18+D19)</f>
        <v>392981073390</v>
      </c>
      <c r="E12" s="152">
        <f t="shared" ref="E12:G12" si="1">SUM(E13+E14+E18+E19)</f>
        <v>53648892472.760002</v>
      </c>
      <c r="F12" s="152">
        <f t="shared" si="1"/>
        <v>78539801847.049988</v>
      </c>
      <c r="G12" s="152">
        <f t="shared" si="1"/>
        <v>132188694319.81</v>
      </c>
      <c r="H12" s="243">
        <f>G12/D12</f>
        <v>0.33637420036415866</v>
      </c>
      <c r="K12" s="271"/>
    </row>
    <row r="13" spans="1:13" ht="20.25" customHeight="1" x14ac:dyDescent="0.25">
      <c r="A13" s="319" t="s">
        <v>19</v>
      </c>
      <c r="B13" s="256" t="s">
        <v>345</v>
      </c>
      <c r="C13" s="265" t="s">
        <v>264</v>
      </c>
      <c r="D13" s="258">
        <v>197002700000</v>
      </c>
      <c r="E13" s="258">
        <f>'Rkp Maret'!G13</f>
        <v>23989951202</v>
      </c>
      <c r="F13" s="258">
        <f>'Realisasi April'!F13</f>
        <v>10487260227.360001</v>
      </c>
      <c r="G13" s="258">
        <f>E13+F13</f>
        <v>34477211429.360001</v>
      </c>
      <c r="H13" s="259">
        <f t="shared" ref="H13:H35" si="2">G13/D13</f>
        <v>0.17500882693161057</v>
      </c>
      <c r="J13" s="326"/>
      <c r="M13" s="90"/>
    </row>
    <row r="14" spans="1:13" ht="20.25" customHeight="1" x14ac:dyDescent="0.25">
      <c r="A14" s="320" t="s">
        <v>39</v>
      </c>
      <c r="B14" s="266" t="s">
        <v>346</v>
      </c>
      <c r="C14" s="267" t="s">
        <v>265</v>
      </c>
      <c r="D14" s="268">
        <f>SUM(D15:D17)</f>
        <v>47985440000</v>
      </c>
      <c r="E14" s="268">
        <f t="shared" ref="E14:G14" si="3">SUM(E15:E17)</f>
        <v>6352337800</v>
      </c>
      <c r="F14" s="268">
        <f>SUM(F15:F17)</f>
        <v>1825567400</v>
      </c>
      <c r="G14" s="268">
        <f t="shared" si="3"/>
        <v>8177905200</v>
      </c>
      <c r="H14" s="269">
        <f t="shared" si="2"/>
        <v>0.17042472049855123</v>
      </c>
      <c r="M14" s="90"/>
    </row>
    <row r="15" spans="1:13" ht="20.25" customHeight="1" x14ac:dyDescent="0.25">
      <c r="A15" s="321"/>
      <c r="B15" s="86" t="s">
        <v>288</v>
      </c>
      <c r="C15" s="87" t="s">
        <v>55</v>
      </c>
      <c r="D15" s="88">
        <v>4579475000</v>
      </c>
      <c r="E15" s="88">
        <f>'Rkp Maret'!G15</f>
        <v>488847950</v>
      </c>
      <c r="F15" s="88">
        <f>'Realisasi April'!F30+'Realisasi April'!F53+'Realisasi April'!F58+'Realisasi April'!F92</f>
        <v>147635400</v>
      </c>
      <c r="G15" s="88">
        <f>E15+F15</f>
        <v>636483350</v>
      </c>
      <c r="H15" s="245">
        <f t="shared" si="2"/>
        <v>0.13898609556772337</v>
      </c>
      <c r="M15" s="90"/>
    </row>
    <row r="16" spans="1:13" ht="20.25" customHeight="1" x14ac:dyDescent="0.25">
      <c r="A16" s="321"/>
      <c r="B16" s="86" t="s">
        <v>285</v>
      </c>
      <c r="C16" s="87" t="s">
        <v>444</v>
      </c>
      <c r="D16" s="88">
        <v>28403965000</v>
      </c>
      <c r="E16" s="88">
        <f>'Rkp Maret'!G16</f>
        <v>5863489850</v>
      </c>
      <c r="F16" s="88">
        <f>'Realisasi April'!F41+'Realisasi April'!F48+'Realisasi April'!F63+'Realisasi April'!F75+'Realisasi April'!F87</f>
        <v>1677932000</v>
      </c>
      <c r="G16" s="88">
        <f t="shared" ref="G16:G19" si="4">E16+F16</f>
        <v>7541421850</v>
      </c>
      <c r="H16" s="245">
        <f t="shared" si="2"/>
        <v>0.26550595489045281</v>
      </c>
      <c r="M16" s="90"/>
    </row>
    <row r="17" spans="1:13" ht="20.25" customHeight="1" x14ac:dyDescent="0.25">
      <c r="A17" s="321"/>
      <c r="B17" s="86" t="s">
        <v>298</v>
      </c>
      <c r="C17" s="87" t="s">
        <v>60</v>
      </c>
      <c r="D17" s="88">
        <v>15002000000</v>
      </c>
      <c r="E17" s="88">
        <f>'Rkp Maret'!G17</f>
        <v>0</v>
      </c>
      <c r="F17" s="88">
        <f>'Realisasi April'!F70+'Realisasi April'!F80</f>
        <v>0</v>
      </c>
      <c r="G17" s="88">
        <f t="shared" si="4"/>
        <v>0</v>
      </c>
      <c r="H17" s="245">
        <f t="shared" si="2"/>
        <v>0</v>
      </c>
      <c r="M17" s="90"/>
    </row>
    <row r="18" spans="1:13" ht="31.5" customHeight="1" x14ac:dyDescent="0.25">
      <c r="A18" s="320" t="s">
        <v>46</v>
      </c>
      <c r="B18" s="256" t="s">
        <v>347</v>
      </c>
      <c r="C18" s="257" t="s">
        <v>266</v>
      </c>
      <c r="D18" s="258">
        <v>1663748324</v>
      </c>
      <c r="E18" s="260">
        <f>'Rkp Maret'!G18</f>
        <v>0</v>
      </c>
      <c r="F18" s="258">
        <f>'Realisasi April'!F96</f>
        <v>1079761191</v>
      </c>
      <c r="G18" s="260">
        <f t="shared" si="4"/>
        <v>1079761191</v>
      </c>
      <c r="H18" s="259">
        <f t="shared" si="2"/>
        <v>0.64899310516149922</v>
      </c>
      <c r="I18" s="273"/>
      <c r="M18" s="90"/>
    </row>
    <row r="19" spans="1:13" ht="20.25" customHeight="1" x14ac:dyDescent="0.25">
      <c r="A19" s="322" t="s">
        <v>8</v>
      </c>
      <c r="B19" s="266" t="s">
        <v>348</v>
      </c>
      <c r="C19" s="267" t="s">
        <v>96</v>
      </c>
      <c r="D19" s="268">
        <v>146329185066</v>
      </c>
      <c r="E19" s="260">
        <f>'Rkp Maret'!G19</f>
        <v>23306603470.760002</v>
      </c>
      <c r="F19" s="268">
        <f>'Realisasi April'!F102</f>
        <v>65147213028.689995</v>
      </c>
      <c r="G19" s="260">
        <f t="shared" si="4"/>
        <v>88453816499.449997</v>
      </c>
      <c r="H19" s="269">
        <f t="shared" si="2"/>
        <v>0.60448513028726281</v>
      </c>
      <c r="M19" s="90"/>
    </row>
    <row r="20" spans="1:13" ht="20.25" customHeight="1" x14ac:dyDescent="0.25">
      <c r="A20" s="149" t="s">
        <v>163</v>
      </c>
      <c r="B20" s="150" t="s">
        <v>164</v>
      </c>
      <c r="C20" s="151" t="s">
        <v>268</v>
      </c>
      <c r="D20" s="155">
        <f>SUM(D21+D28)</f>
        <v>748486409081</v>
      </c>
      <c r="E20" s="155">
        <f t="shared" ref="E20:G20" si="5">SUM(E21+E28)</f>
        <v>171371378700</v>
      </c>
      <c r="F20" s="155">
        <f>SUM(F21+F28)</f>
        <v>66364214994</v>
      </c>
      <c r="G20" s="155">
        <f t="shared" si="5"/>
        <v>237735593694</v>
      </c>
      <c r="H20" s="243">
        <f t="shared" si="2"/>
        <v>0.31762179086978271</v>
      </c>
    </row>
    <row r="21" spans="1:13" ht="20.25" customHeight="1" x14ac:dyDescent="0.25">
      <c r="A21" s="156" t="s">
        <v>416</v>
      </c>
      <c r="B21" s="157" t="s">
        <v>350</v>
      </c>
      <c r="C21" s="158" t="s">
        <v>351</v>
      </c>
      <c r="D21" s="159">
        <f>SUM(D22+D27)</f>
        <v>643257080000</v>
      </c>
      <c r="E21" s="159">
        <f t="shared" ref="E21:G21" si="6">SUM(E22+E27)</f>
        <v>171371378700</v>
      </c>
      <c r="F21" s="159">
        <f t="shared" si="6"/>
        <v>37771536538</v>
      </c>
      <c r="G21" s="159">
        <f t="shared" si="6"/>
        <v>209142915238</v>
      </c>
      <c r="H21" s="246">
        <f t="shared" si="2"/>
        <v>0.32513115166645346</v>
      </c>
    </row>
    <row r="22" spans="1:13" ht="20.25" customHeight="1" x14ac:dyDescent="0.25">
      <c r="A22" s="160" t="s">
        <v>89</v>
      </c>
      <c r="B22" s="161" t="s">
        <v>352</v>
      </c>
      <c r="C22" s="162" t="s">
        <v>435</v>
      </c>
      <c r="D22" s="163">
        <f>SUM(D23:D26)</f>
        <v>643257080000</v>
      </c>
      <c r="E22" s="163">
        <f t="shared" ref="E22:G22" si="7">SUM(E23:E26)</f>
        <v>171371378700</v>
      </c>
      <c r="F22" s="163">
        <f>SUM(F23:F26)</f>
        <v>37771536538</v>
      </c>
      <c r="G22" s="163">
        <f t="shared" si="7"/>
        <v>209142915238</v>
      </c>
      <c r="H22" s="247">
        <f t="shared" si="2"/>
        <v>0.32513115166645346</v>
      </c>
    </row>
    <row r="23" spans="1:13" ht="20.25" customHeight="1" x14ac:dyDescent="0.25">
      <c r="A23" s="323" t="s">
        <v>13</v>
      </c>
      <c r="B23" s="147" t="s">
        <v>353</v>
      </c>
      <c r="C23" s="148" t="s">
        <v>354</v>
      </c>
      <c r="D23" s="173">
        <v>154499794000</v>
      </c>
      <c r="E23" s="173">
        <f>'Rkp Maret'!G23</f>
        <v>29170498700</v>
      </c>
      <c r="F23" s="173">
        <f>'Realisasi April'!F228</f>
        <v>1745760400</v>
      </c>
      <c r="G23" s="173">
        <f>E23+F23</f>
        <v>30916259100</v>
      </c>
      <c r="H23" s="244">
        <f t="shared" si="2"/>
        <v>0.20010550370054214</v>
      </c>
    </row>
    <row r="24" spans="1:13" ht="20.25" customHeight="1" x14ac:dyDescent="0.25">
      <c r="A24" s="85" t="s">
        <v>16</v>
      </c>
      <c r="B24" s="86" t="s">
        <v>368</v>
      </c>
      <c r="C24" s="87" t="s">
        <v>436</v>
      </c>
      <c r="D24" s="88">
        <v>429554051000</v>
      </c>
      <c r="E24" s="173">
        <f>'Rkp Maret'!G24</f>
        <v>142200880000</v>
      </c>
      <c r="F24" s="88">
        <f>'Realisasi April'!F293</f>
        <v>34968176138</v>
      </c>
      <c r="G24" s="173">
        <f t="shared" ref="G24:G26" si="8">E24+F24</f>
        <v>177169056138</v>
      </c>
      <c r="H24" s="248">
        <f t="shared" si="2"/>
        <v>0.41244880760768332</v>
      </c>
    </row>
    <row r="25" spans="1:13" ht="20.25" customHeight="1" x14ac:dyDescent="0.25">
      <c r="A25" s="85" t="s">
        <v>86</v>
      </c>
      <c r="B25" s="86" t="s">
        <v>370</v>
      </c>
      <c r="C25" s="87" t="s">
        <v>437</v>
      </c>
      <c r="D25" s="88">
        <v>7340205000</v>
      </c>
      <c r="E25" s="173">
        <f>'Rkp Maret'!G25</f>
        <v>0</v>
      </c>
      <c r="F25" s="88">
        <f>'Realisasi April'!F295</f>
        <v>0</v>
      </c>
      <c r="G25" s="173">
        <f t="shared" si="8"/>
        <v>0</v>
      </c>
      <c r="H25" s="248">
        <f t="shared" si="2"/>
        <v>0</v>
      </c>
    </row>
    <row r="26" spans="1:13" ht="20.25" customHeight="1" x14ac:dyDescent="0.25">
      <c r="A26" s="91" t="s">
        <v>95</v>
      </c>
      <c r="B26" s="153" t="s">
        <v>384</v>
      </c>
      <c r="C26" s="154" t="s">
        <v>438</v>
      </c>
      <c r="D26" s="174">
        <v>51863030000</v>
      </c>
      <c r="E26" s="173">
        <f>'Rkp Maret'!G26</f>
        <v>0</v>
      </c>
      <c r="F26" s="174">
        <f>'Realisasi April'!F363</f>
        <v>1057600000</v>
      </c>
      <c r="G26" s="173">
        <f t="shared" si="8"/>
        <v>1057600000</v>
      </c>
      <c r="H26" s="245">
        <f t="shared" si="2"/>
        <v>2.0392175312549228E-2</v>
      </c>
    </row>
    <row r="27" spans="1:13" ht="20.25" customHeight="1" x14ac:dyDescent="0.25">
      <c r="A27" s="160" t="s">
        <v>91</v>
      </c>
      <c r="B27" s="161" t="s">
        <v>396</v>
      </c>
      <c r="C27" s="162" t="s">
        <v>439</v>
      </c>
      <c r="D27" s="163">
        <v>0</v>
      </c>
      <c r="E27" s="163"/>
      <c r="F27" s="163">
        <f>'Realisasi Januari'!F408</f>
        <v>0</v>
      </c>
      <c r="G27" s="163">
        <f>E27+F27</f>
        <v>0</v>
      </c>
      <c r="H27" s="247" t="e">
        <f t="shared" si="2"/>
        <v>#DIV/0!</v>
      </c>
    </row>
    <row r="28" spans="1:13" ht="20.25" customHeight="1" x14ac:dyDescent="0.25">
      <c r="A28" s="156" t="s">
        <v>440</v>
      </c>
      <c r="B28" s="157" t="s">
        <v>398</v>
      </c>
      <c r="C28" s="158" t="s">
        <v>399</v>
      </c>
      <c r="D28" s="159">
        <f>SUM(D29:D30)</f>
        <v>105229329081</v>
      </c>
      <c r="E28" s="159">
        <f t="shared" ref="E28:F28" si="9">SUM(E29:E30)</f>
        <v>0</v>
      </c>
      <c r="F28" s="159">
        <f t="shared" si="9"/>
        <v>28592678456</v>
      </c>
      <c r="G28" s="159">
        <f>E28+F28</f>
        <v>28592678456</v>
      </c>
      <c r="H28" s="246">
        <f t="shared" si="2"/>
        <v>0.27171776828483685</v>
      </c>
    </row>
    <row r="29" spans="1:13" ht="20.25" customHeight="1" x14ac:dyDescent="0.25">
      <c r="A29" s="323" t="s">
        <v>89</v>
      </c>
      <c r="B29" s="147" t="s">
        <v>400</v>
      </c>
      <c r="C29" s="148" t="s">
        <v>403</v>
      </c>
      <c r="D29" s="173">
        <v>105229329081</v>
      </c>
      <c r="E29" s="173">
        <f>'Rkp Maret'!G29</f>
        <v>0</v>
      </c>
      <c r="F29" s="173">
        <f>'Realisasi April'!F416</f>
        <v>25508678456</v>
      </c>
      <c r="G29" s="173">
        <f>E29+F29</f>
        <v>25508678456</v>
      </c>
      <c r="H29" s="244">
        <f t="shared" si="2"/>
        <v>0.24241034965037894</v>
      </c>
    </row>
    <row r="30" spans="1:13" ht="20.25" customHeight="1" x14ac:dyDescent="0.25">
      <c r="A30" s="91" t="s">
        <v>91</v>
      </c>
      <c r="B30" s="153" t="s">
        <v>425</v>
      </c>
      <c r="C30" s="154" t="s">
        <v>427</v>
      </c>
      <c r="D30" s="174">
        <v>0</v>
      </c>
      <c r="E30" s="173">
        <f>'Rkp Maret'!G30</f>
        <v>0</v>
      </c>
      <c r="F30" s="174">
        <f>'Realisasi April'!F429</f>
        <v>3084000000</v>
      </c>
      <c r="G30" s="173">
        <f>E30+F30</f>
        <v>3084000000</v>
      </c>
      <c r="H30" s="244" t="e">
        <f t="shared" si="2"/>
        <v>#DIV/0!</v>
      </c>
    </row>
    <row r="31" spans="1:13" ht="20.25" customHeight="1" x14ac:dyDescent="0.25">
      <c r="A31" s="149" t="s">
        <v>241</v>
      </c>
      <c r="B31" s="150" t="s">
        <v>242</v>
      </c>
      <c r="C31" s="151" t="s">
        <v>243</v>
      </c>
      <c r="D31" s="155">
        <f t="shared" ref="D31:G33" si="10">D32</f>
        <v>0</v>
      </c>
      <c r="E31" s="155">
        <f t="shared" si="10"/>
        <v>0</v>
      </c>
      <c r="F31" s="155">
        <f t="shared" si="10"/>
        <v>0</v>
      </c>
      <c r="G31" s="155">
        <f t="shared" si="10"/>
        <v>0</v>
      </c>
      <c r="H31" s="243" t="e">
        <f t="shared" si="2"/>
        <v>#DIV/0!</v>
      </c>
    </row>
    <row r="32" spans="1:13" ht="34.5" customHeight="1" x14ac:dyDescent="0.25">
      <c r="A32" s="84"/>
      <c r="B32" s="147" t="s">
        <v>418</v>
      </c>
      <c r="C32" s="250" t="s">
        <v>441</v>
      </c>
      <c r="D32" s="258">
        <f>D33</f>
        <v>0</v>
      </c>
      <c r="E32" s="173"/>
      <c r="F32" s="173">
        <f t="shared" si="10"/>
        <v>0</v>
      </c>
      <c r="G32" s="173">
        <f>E32+F32</f>
        <v>0</v>
      </c>
      <c r="H32" s="259" t="e">
        <f t="shared" si="2"/>
        <v>#DIV/0!</v>
      </c>
    </row>
    <row r="33" spans="1:10" ht="20.25" customHeight="1" x14ac:dyDescent="0.25">
      <c r="A33" s="85"/>
      <c r="B33" s="86" t="s">
        <v>420</v>
      </c>
      <c r="C33" s="87" t="s">
        <v>442</v>
      </c>
      <c r="D33" s="260">
        <f t="shared" si="10"/>
        <v>0</v>
      </c>
      <c r="E33" s="173"/>
      <c r="F33" s="88">
        <f t="shared" si="10"/>
        <v>0</v>
      </c>
      <c r="G33" s="173">
        <f t="shared" ref="G33" si="11">E33+F33</f>
        <v>0</v>
      </c>
      <c r="H33" s="261" t="e">
        <f t="shared" si="2"/>
        <v>#DIV/0!</v>
      </c>
    </row>
    <row r="34" spans="1:10" ht="20.25" customHeight="1" x14ac:dyDescent="0.25">
      <c r="A34" s="91" t="s">
        <v>89</v>
      </c>
      <c r="B34" s="86" t="s">
        <v>422</v>
      </c>
      <c r="C34" s="87" t="s">
        <v>423</v>
      </c>
      <c r="D34" s="164">
        <v>0</v>
      </c>
      <c r="E34" s="173">
        <f>'Rkp Maret'!G34</f>
        <v>0</v>
      </c>
      <c r="F34" s="174">
        <f>'Realisasi Januari'!F439</f>
        <v>0</v>
      </c>
      <c r="G34" s="173">
        <f>F34</f>
        <v>0</v>
      </c>
      <c r="H34" s="248" t="e">
        <f t="shared" si="2"/>
        <v>#DIV/0!</v>
      </c>
    </row>
    <row r="35" spans="1:10" ht="20.25" customHeight="1" thickBot="1" x14ac:dyDescent="0.3">
      <c r="A35" s="91" t="s">
        <v>91</v>
      </c>
      <c r="B35" s="86" t="s">
        <v>618</v>
      </c>
      <c r="C35" s="87" t="s">
        <v>620</v>
      </c>
      <c r="D35" s="164">
        <v>0</v>
      </c>
      <c r="E35" s="173">
        <f>'Rkp Maret'!G35</f>
        <v>0</v>
      </c>
      <c r="F35" s="174"/>
      <c r="G35" s="173">
        <f>F35</f>
        <v>0</v>
      </c>
      <c r="H35" s="286" t="e">
        <f t="shared" si="2"/>
        <v>#DIV/0!</v>
      </c>
    </row>
    <row r="36" spans="1:10" s="82" customFormat="1" ht="21.75" customHeight="1" thickBot="1" x14ac:dyDescent="0.3">
      <c r="A36" s="143"/>
      <c r="B36" s="144"/>
      <c r="C36" s="145" t="s">
        <v>472</v>
      </c>
      <c r="D36" s="146">
        <f>SUM(D12+D20+D31)</f>
        <v>1141467482471</v>
      </c>
      <c r="E36" s="146">
        <f t="shared" ref="E36:G36" si="12">SUM(E12+E20+E31)</f>
        <v>225020271172.76001</v>
      </c>
      <c r="F36" s="146">
        <f t="shared" si="12"/>
        <v>144904016841.04999</v>
      </c>
      <c r="G36" s="146">
        <f t="shared" si="12"/>
        <v>369924288013.81</v>
      </c>
      <c r="H36" s="249">
        <f>G36/D36</f>
        <v>0.32407781535135255</v>
      </c>
      <c r="I36" s="274"/>
      <c r="J36" s="274"/>
    </row>
    <row r="37" spans="1:10" ht="20.25" hidden="1" customHeight="1" x14ac:dyDescent="0.25">
      <c r="A37" s="92" t="s">
        <v>95</v>
      </c>
      <c r="B37" s="93" t="s">
        <v>46</v>
      </c>
      <c r="C37" s="94" t="s">
        <v>251</v>
      </c>
      <c r="D37" s="95">
        <v>102132456348.7</v>
      </c>
      <c r="E37" s="173"/>
      <c r="F37" s="88" t="e">
        <f>D37-#REF!</f>
        <v>#REF!</v>
      </c>
      <c r="G37" s="173"/>
      <c r="H37" s="96" t="e">
        <f>SUM(F37/#REF!)</f>
        <v>#REF!</v>
      </c>
    </row>
    <row r="38" spans="1:10" ht="20.25" hidden="1" customHeight="1" x14ac:dyDescent="0.25">
      <c r="A38" s="85"/>
      <c r="B38" s="97" t="s">
        <v>252</v>
      </c>
      <c r="C38" s="98" t="s">
        <v>253</v>
      </c>
      <c r="D38" s="88">
        <v>102132456348.7</v>
      </c>
      <c r="E38" s="88"/>
      <c r="F38" s="88" t="e">
        <f>D38-#REF!</f>
        <v>#REF!</v>
      </c>
      <c r="G38" s="88"/>
      <c r="H38" s="89" t="e">
        <f>SUM(F38/#REF!)</f>
        <v>#REF!</v>
      </c>
    </row>
    <row r="39" spans="1:10" ht="20.25" hidden="1" customHeight="1" x14ac:dyDescent="0.25">
      <c r="A39" s="85"/>
      <c r="B39" s="99" t="s">
        <v>254</v>
      </c>
      <c r="C39" s="100" t="s">
        <v>255</v>
      </c>
      <c r="D39" s="88">
        <v>95076456348.699997</v>
      </c>
      <c r="E39" s="88"/>
      <c r="F39" s="88" t="e">
        <f>D39-#REF!</f>
        <v>#REF!</v>
      </c>
      <c r="G39" s="88"/>
      <c r="H39" s="89" t="e">
        <f>SUM(F39/#REF!)</f>
        <v>#REF!</v>
      </c>
    </row>
    <row r="40" spans="1:10" ht="20.25" hidden="1" customHeight="1" x14ac:dyDescent="0.25">
      <c r="A40" s="85"/>
      <c r="B40" s="99" t="s">
        <v>256</v>
      </c>
      <c r="C40" s="100" t="s">
        <v>257</v>
      </c>
      <c r="D40" s="88">
        <v>7056000000</v>
      </c>
      <c r="E40" s="88"/>
      <c r="F40" s="88" t="e">
        <f>D40-#REF!</f>
        <v>#REF!</v>
      </c>
      <c r="G40" s="88"/>
      <c r="H40" s="89">
        <v>1</v>
      </c>
    </row>
    <row r="41" spans="1:10" ht="20.25" hidden="1" customHeight="1" x14ac:dyDescent="0.25">
      <c r="A41" s="101"/>
      <c r="B41" s="102" t="s">
        <v>258</v>
      </c>
      <c r="C41" s="103" t="s">
        <v>259</v>
      </c>
      <c r="D41" s="104">
        <v>7056000000</v>
      </c>
      <c r="E41" s="174"/>
      <c r="F41" s="88" t="e">
        <f>D41-#REF!</f>
        <v>#REF!</v>
      </c>
      <c r="G41" s="174"/>
      <c r="H41" s="105">
        <v>1</v>
      </c>
    </row>
    <row r="42" spans="1:10" ht="26.25" hidden="1" customHeight="1" x14ac:dyDescent="0.25">
      <c r="A42" s="450" t="s">
        <v>263</v>
      </c>
      <c r="B42" s="451"/>
      <c r="C42" s="451"/>
      <c r="D42" s="106">
        <f>SUM(D37+D36)</f>
        <v>1243599938819.7</v>
      </c>
      <c r="E42" s="106"/>
      <c r="F42" s="106" t="e">
        <f>SUM(F37+F36)</f>
        <v>#REF!</v>
      </c>
      <c r="G42" s="106"/>
      <c r="H42" s="107" t="e">
        <f>SUM(F42/#REF!)</f>
        <v>#REF!</v>
      </c>
    </row>
    <row r="43" spans="1:10" ht="26.25" customHeight="1" x14ac:dyDescent="0.25">
      <c r="A43" s="108"/>
      <c r="B43" s="198"/>
      <c r="C43" s="197"/>
      <c r="D43" s="110"/>
      <c r="E43" s="110"/>
      <c r="F43" s="110"/>
      <c r="G43" s="110"/>
      <c r="H43" s="111"/>
    </row>
    <row r="44" spans="1:10" ht="21" customHeight="1" x14ac:dyDescent="0.25">
      <c r="A44" s="324"/>
      <c r="B44" s="308"/>
      <c r="C44" s="109"/>
      <c r="D44" s="112"/>
      <c r="E44" s="112"/>
      <c r="F44" s="291"/>
      <c r="G44" s="291" t="s">
        <v>680</v>
      </c>
      <c r="H44" s="113"/>
    </row>
    <row r="45" spans="1:10" ht="18" x14ac:dyDescent="0.25">
      <c r="A45" s="324"/>
      <c r="B45" s="308"/>
      <c r="C45" s="109"/>
      <c r="D45" s="114"/>
      <c r="E45" s="114"/>
      <c r="F45" s="291"/>
      <c r="G45" s="291" t="s">
        <v>630</v>
      </c>
      <c r="H45" s="255"/>
    </row>
    <row r="46" spans="1:10" ht="21" customHeight="1" x14ac:dyDescent="0.25">
      <c r="B46" s="308"/>
      <c r="C46" s="109"/>
      <c r="D46" s="114"/>
      <c r="E46" s="114"/>
      <c r="F46" s="291"/>
      <c r="G46" s="291"/>
      <c r="H46" s="255"/>
    </row>
    <row r="47" spans="1:10" ht="15.75" customHeight="1" x14ac:dyDescent="0.25">
      <c r="B47" s="308"/>
      <c r="C47" s="109"/>
      <c r="D47" s="116"/>
      <c r="E47" s="116"/>
      <c r="F47" s="291"/>
      <c r="G47" s="291"/>
      <c r="H47" s="117"/>
    </row>
    <row r="48" spans="1:10" ht="15.75" customHeight="1" x14ac:dyDescent="0.25">
      <c r="B48" s="308"/>
      <c r="C48" s="109"/>
      <c r="D48" s="116"/>
      <c r="E48" s="116"/>
      <c r="F48" s="291"/>
      <c r="G48" s="291"/>
      <c r="H48" s="117"/>
    </row>
    <row r="49" spans="2:8" ht="15.75" customHeight="1" x14ac:dyDescent="0.25">
      <c r="B49" s="308"/>
      <c r="C49" s="109" t="s">
        <v>267</v>
      </c>
      <c r="D49" s="116"/>
      <c r="E49" s="116"/>
      <c r="F49" s="292"/>
      <c r="G49" s="292" t="s">
        <v>579</v>
      </c>
      <c r="H49" s="117"/>
    </row>
    <row r="50" spans="2:8" ht="15.75" customHeight="1" x14ac:dyDescent="0.25">
      <c r="B50" s="308"/>
      <c r="C50" s="109"/>
      <c r="D50" s="116"/>
      <c r="E50" s="116"/>
      <c r="F50" s="291"/>
      <c r="G50" s="291" t="s">
        <v>577</v>
      </c>
      <c r="H50" s="117"/>
    </row>
    <row r="51" spans="2:8" ht="22.5" customHeight="1" x14ac:dyDescent="0.25">
      <c r="C51" s="118"/>
      <c r="D51" s="119"/>
      <c r="E51" s="119"/>
      <c r="F51" s="291"/>
      <c r="G51" s="291" t="s">
        <v>576</v>
      </c>
      <c r="H51" s="120"/>
    </row>
    <row r="52" spans="2:8" ht="20.25" customHeight="1" x14ac:dyDescent="0.25">
      <c r="C52" s="118"/>
      <c r="D52" s="112"/>
      <c r="E52" s="112"/>
      <c r="F52" s="115"/>
      <c r="G52" s="115"/>
      <c r="H52" s="113"/>
    </row>
    <row r="53" spans="2:8" ht="13.15" customHeight="1" x14ac:dyDescent="0.25">
      <c r="C53" s="118"/>
      <c r="D53" s="112"/>
      <c r="E53" s="112"/>
      <c r="H53" s="113"/>
    </row>
    <row r="54" spans="2:8" ht="13.15" customHeight="1" x14ac:dyDescent="0.25">
      <c r="C54" s="118"/>
      <c r="D54" s="112"/>
      <c r="E54" s="112"/>
      <c r="F54" s="113"/>
      <c r="G54" s="113"/>
      <c r="H54" s="113"/>
    </row>
    <row r="55" spans="2:8" ht="13.15" customHeight="1" x14ac:dyDescent="0.25">
      <c r="C55" s="118"/>
      <c r="D55" s="112"/>
      <c r="E55" s="112"/>
      <c r="F55" s="113"/>
      <c r="G55" s="113"/>
      <c r="H55" s="113"/>
    </row>
    <row r="56" spans="2:8" ht="13.15" customHeight="1" x14ac:dyDescent="0.25">
      <c r="C56" s="118"/>
      <c r="D56" s="118"/>
      <c r="E56" s="118"/>
    </row>
    <row r="57" spans="2:8" ht="13.15" customHeight="1" x14ac:dyDescent="0.25">
      <c r="C57" s="118"/>
      <c r="D57" s="118"/>
      <c r="E57" s="118"/>
    </row>
    <row r="58" spans="2:8" ht="13.15" customHeight="1" x14ac:dyDescent="0.25">
      <c r="C58" s="118"/>
      <c r="D58" s="118"/>
      <c r="E58" s="118"/>
    </row>
    <row r="59" spans="2:8" ht="13.15" customHeight="1" x14ac:dyDescent="0.25">
      <c r="C59" s="118"/>
      <c r="D59" s="118"/>
      <c r="E59" s="118"/>
    </row>
    <row r="60" spans="2:8" ht="13.15" customHeight="1" x14ac:dyDescent="0.25">
      <c r="C60" s="118"/>
      <c r="D60" s="118"/>
      <c r="E60" s="118"/>
    </row>
    <row r="61" spans="2:8" ht="13.15" customHeight="1" x14ac:dyDescent="0.25">
      <c r="C61" s="118"/>
      <c r="D61" s="118"/>
      <c r="E61" s="118"/>
    </row>
    <row r="62" spans="2:8" ht="13.15" customHeight="1" x14ac:dyDescent="0.25">
      <c r="C62" s="118"/>
      <c r="D62" s="118"/>
      <c r="E62" s="118"/>
    </row>
  </sheetData>
  <mergeCells count="12">
    <mergeCell ref="F6:H6"/>
    <mergeCell ref="F7:H7"/>
    <mergeCell ref="A42:C42"/>
    <mergeCell ref="B2:D2"/>
    <mergeCell ref="B3:D3"/>
    <mergeCell ref="B4:D4"/>
    <mergeCell ref="B5:C5"/>
    <mergeCell ref="A8:A9"/>
    <mergeCell ref="B8:B9"/>
    <mergeCell ref="C8:C9"/>
    <mergeCell ref="E8:G8"/>
    <mergeCell ref="H8:H9"/>
  </mergeCells>
  <printOptions horizontalCentered="1"/>
  <pageMargins left="0.6692913385826772" right="1.0236220472440944" top="0.54" bottom="0.27559055118110237" header="0.23622047244094491" footer="0.33"/>
  <pageSetup paperSize="9" scale="6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482"/>
  <sheetViews>
    <sheetView zoomScale="68" zoomScaleNormal="68" workbookViewId="0">
      <pane ySplit="9" topLeftCell="A10" activePane="bottomLeft" state="frozen"/>
      <selection activeCell="I30" sqref="I30"/>
      <selection pane="bottomLeft" activeCell="M29" sqref="M29"/>
    </sheetView>
  </sheetViews>
  <sheetFormatPr defaultColWidth="9.28515625" defaultRowHeight="18" x14ac:dyDescent="0.25"/>
  <cols>
    <col min="1" max="1" width="7" style="4" customWidth="1"/>
    <col min="2" max="2" width="25.140625" style="4" customWidth="1"/>
    <col min="3" max="3" width="82.7109375" style="4" customWidth="1"/>
    <col min="4" max="6" width="28.42578125" style="175" customWidth="1"/>
    <col min="7" max="7" width="30.7109375" style="175" customWidth="1"/>
    <col min="8" max="8" width="16" style="175" customWidth="1"/>
    <col min="9" max="9" width="56.42578125" style="4" hidden="1" customWidth="1"/>
    <col min="10" max="10" width="30.5703125" style="175" bestFit="1" customWidth="1"/>
    <col min="11" max="11" width="30.28515625" style="4" customWidth="1"/>
    <col min="12" max="12" width="29.42578125" style="4" customWidth="1"/>
    <col min="13" max="13" width="26.28515625" style="4" customWidth="1"/>
    <col min="14" max="16384" width="9.28515625" style="4"/>
  </cols>
  <sheetData>
    <row r="1" spans="1:15" x14ac:dyDescent="0.25">
      <c r="A1" s="1"/>
      <c r="B1" s="1"/>
      <c r="C1" s="2"/>
      <c r="I1" s="3"/>
    </row>
    <row r="2" spans="1:15" ht="25.5" x14ac:dyDescent="0.25">
      <c r="A2" s="1"/>
      <c r="B2" s="444" t="s">
        <v>0</v>
      </c>
      <c r="C2" s="444"/>
      <c r="E2" s="5" t="s">
        <v>486</v>
      </c>
      <c r="I2" s="1"/>
      <c r="K2" s="5"/>
    </row>
    <row r="3" spans="1:15" x14ac:dyDescent="0.25">
      <c r="A3" s="1"/>
      <c r="B3" s="445" t="s">
        <v>480</v>
      </c>
      <c r="C3" s="445"/>
      <c r="E3" s="5" t="s">
        <v>631</v>
      </c>
      <c r="K3" s="5"/>
    </row>
    <row r="4" spans="1:15" x14ac:dyDescent="0.25">
      <c r="A4" s="1"/>
      <c r="B4" s="446" t="s">
        <v>481</v>
      </c>
      <c r="C4" s="446"/>
      <c r="E4" s="6" t="s">
        <v>672</v>
      </c>
      <c r="K4" s="6"/>
    </row>
    <row r="5" spans="1:15" ht="19.5" x14ac:dyDescent="0.25">
      <c r="A5" s="1"/>
      <c r="B5" s="447"/>
      <c r="C5" s="447"/>
      <c r="I5" s="1"/>
    </row>
    <row r="6" spans="1:15" ht="18.75" thickBot="1" x14ac:dyDescent="0.3">
      <c r="A6" s="1"/>
      <c r="B6" s="312"/>
      <c r="C6" s="312"/>
      <c r="D6" s="8"/>
      <c r="E6" s="8"/>
      <c r="F6" s="448"/>
      <c r="G6" s="448"/>
      <c r="H6" s="448"/>
      <c r="I6" s="7"/>
    </row>
    <row r="7" spans="1:15" s="10" customFormat="1" ht="29.25" customHeight="1" x14ac:dyDescent="0.25">
      <c r="A7" s="435" t="s">
        <v>2</v>
      </c>
      <c r="B7" s="437" t="s">
        <v>3</v>
      </c>
      <c r="C7" s="437" t="s">
        <v>4</v>
      </c>
      <c r="D7" s="202" t="s">
        <v>5</v>
      </c>
      <c r="E7" s="441" t="s">
        <v>475</v>
      </c>
      <c r="F7" s="441"/>
      <c r="G7" s="441"/>
      <c r="H7" s="439" t="s">
        <v>6</v>
      </c>
      <c r="I7" s="442" t="s">
        <v>7</v>
      </c>
      <c r="J7" s="9"/>
    </row>
    <row r="8" spans="1:15" s="10" customFormat="1" ht="29.25" customHeight="1" thickBot="1" x14ac:dyDescent="0.3">
      <c r="A8" s="436"/>
      <c r="B8" s="438"/>
      <c r="C8" s="438"/>
      <c r="D8" s="203" t="s">
        <v>632</v>
      </c>
      <c r="E8" s="204" t="s">
        <v>476</v>
      </c>
      <c r="F8" s="204" t="s">
        <v>477</v>
      </c>
      <c r="G8" s="204" t="s">
        <v>478</v>
      </c>
      <c r="H8" s="440"/>
      <c r="I8" s="443"/>
      <c r="J8" s="9"/>
    </row>
    <row r="9" spans="1:15" s="16" customFormat="1" ht="14.65" customHeight="1" x14ac:dyDescent="0.25">
      <c r="A9" s="11">
        <v>1</v>
      </c>
      <c r="B9" s="12">
        <v>2</v>
      </c>
      <c r="C9" s="13">
        <v>3</v>
      </c>
      <c r="D9" s="14">
        <v>4</v>
      </c>
      <c r="E9" s="14">
        <v>5</v>
      </c>
      <c r="F9" s="14">
        <v>6</v>
      </c>
      <c r="G9" s="15" t="s">
        <v>582</v>
      </c>
      <c r="H9" s="235" t="s">
        <v>583</v>
      </c>
      <c r="I9" s="205">
        <v>9</v>
      </c>
      <c r="J9" s="7"/>
    </row>
    <row r="10" spans="1:15" x14ac:dyDescent="0.25">
      <c r="A10" s="17"/>
      <c r="B10" s="18"/>
      <c r="C10" s="19"/>
      <c r="D10" s="20"/>
      <c r="E10" s="20"/>
      <c r="F10" s="20"/>
      <c r="G10" s="20"/>
      <c r="H10" s="21"/>
      <c r="I10" s="206"/>
    </row>
    <row r="11" spans="1:15" s="176" customFormat="1" ht="25.5" customHeight="1" x14ac:dyDescent="0.25">
      <c r="A11" s="169"/>
      <c r="B11" s="167" t="s">
        <v>8</v>
      </c>
      <c r="C11" s="185" t="s">
        <v>9</v>
      </c>
      <c r="D11" s="191">
        <f>SUM(D12+D228+D443)</f>
        <v>1277356744453.6699</v>
      </c>
      <c r="E11" s="191">
        <f>SUM(E12+E228+E443)</f>
        <v>369924288013.81</v>
      </c>
      <c r="F11" s="191">
        <f>SUM(F12+F228+F443)</f>
        <v>77323496466.98999</v>
      </c>
      <c r="G11" s="191">
        <f>SUM(G12+G228+G443)</f>
        <v>447247784480.79999</v>
      </c>
      <c r="H11" s="236">
        <f>G11/D11</f>
        <v>0.35013537637215786</v>
      </c>
      <c r="I11" s="207"/>
      <c r="J11" s="3"/>
      <c r="K11" s="3"/>
      <c r="L11" s="3"/>
      <c r="M11" s="3"/>
    </row>
    <row r="12" spans="1:15" s="176" customFormat="1" ht="27.75" customHeight="1" x14ac:dyDescent="0.25">
      <c r="A12" s="126" t="s">
        <v>10</v>
      </c>
      <c r="B12" s="127" t="s">
        <v>11</v>
      </c>
      <c r="C12" s="41" t="s">
        <v>12</v>
      </c>
      <c r="D12" s="42">
        <f>SUM(D13+D14+D98+D104)</f>
        <v>392981073389.67004</v>
      </c>
      <c r="E12" s="42">
        <f>SUM(E13+E14+E98+E104)</f>
        <v>132188694319.81001</v>
      </c>
      <c r="F12" s="42">
        <f>SUM(F13+F14+F98+F104)</f>
        <v>24539149439.989998</v>
      </c>
      <c r="G12" s="42">
        <f>SUM(G13+G14+G98+G104)</f>
        <v>156727843759.79999</v>
      </c>
      <c r="H12" s="237">
        <f>G12/D12</f>
        <v>0.39881779142170709</v>
      </c>
      <c r="I12" s="208"/>
      <c r="J12" s="175"/>
      <c r="K12" s="175"/>
      <c r="L12" s="175"/>
    </row>
    <row r="13" spans="1:15" s="176" customFormat="1" ht="25.5" customHeight="1" x14ac:dyDescent="0.25">
      <c r="A13" s="169" t="s">
        <v>13</v>
      </c>
      <c r="B13" s="167" t="s">
        <v>14</v>
      </c>
      <c r="C13" s="185" t="s">
        <v>15</v>
      </c>
      <c r="D13" s="191">
        <f>SUM(D17+D18+D19+D20+D21+D25+D22+D23+D26+D24+D27)</f>
        <v>197002700000</v>
      </c>
      <c r="E13" s="191">
        <f t="shared" ref="E13:G13" si="0">SUM(E17+E18+E19+E20+E21+E25+E22+E23+E26+E24+E27)</f>
        <v>34477211429.360001</v>
      </c>
      <c r="F13" s="191">
        <f t="shared" si="0"/>
        <v>12168363946</v>
      </c>
      <c r="G13" s="191">
        <f t="shared" si="0"/>
        <v>46645575375.360001</v>
      </c>
      <c r="H13" s="236">
        <f>G13/D13</f>
        <v>0.2367763252755419</v>
      </c>
      <c r="I13" s="209"/>
      <c r="J13" s="175"/>
      <c r="K13" s="270"/>
    </row>
    <row r="14" spans="1:15" s="176" customFormat="1" ht="25.5" customHeight="1" x14ac:dyDescent="0.25">
      <c r="A14" s="169" t="s">
        <v>16</v>
      </c>
      <c r="B14" s="167" t="s">
        <v>17</v>
      </c>
      <c r="C14" s="185" t="s">
        <v>18</v>
      </c>
      <c r="D14" s="191">
        <f>SUM(D29+D49+D54+D60+D65+D72+D76+D81+D93+D89+D40)</f>
        <v>47985440000</v>
      </c>
      <c r="E14" s="191">
        <f>SUM(E29+E49+E54+E60+E65+E72+E76+E81+E93+E89+E40)</f>
        <v>8177905200</v>
      </c>
      <c r="F14" s="191">
        <f>SUM(F29+F49+F54+F60+F65+F72+F76+F81+F93+F89+F40)</f>
        <v>1969017988.25</v>
      </c>
      <c r="G14" s="191">
        <f>SUM(G29+G49+G54+G60+G65+G72+G76+G81+G93+G89+G40)</f>
        <v>10146923188.25</v>
      </c>
      <c r="H14" s="236">
        <f>G14/D14</f>
        <v>0.21145837546243193</v>
      </c>
      <c r="I14" s="209"/>
      <c r="J14" s="280"/>
      <c r="K14" s="281"/>
      <c r="L14" s="282"/>
      <c r="M14" s="282"/>
      <c r="N14" s="282"/>
      <c r="O14" s="282"/>
    </row>
    <row r="15" spans="1:15" s="176" customFormat="1" x14ac:dyDescent="0.25">
      <c r="A15" s="169"/>
      <c r="B15" s="22"/>
      <c r="C15" s="185"/>
      <c r="D15" s="191"/>
      <c r="E15" s="191"/>
      <c r="F15" s="191"/>
      <c r="G15" s="191"/>
      <c r="H15" s="236"/>
      <c r="I15" s="209"/>
      <c r="J15" s="280"/>
      <c r="K15" s="282"/>
      <c r="L15" s="282"/>
      <c r="M15" s="282"/>
      <c r="N15" s="282"/>
      <c r="O15" s="282"/>
    </row>
    <row r="16" spans="1:15" s="187" customFormat="1" ht="22.5" customHeight="1" x14ac:dyDescent="0.25">
      <c r="A16" s="23" t="s">
        <v>19</v>
      </c>
      <c r="B16" s="46" t="s">
        <v>281</v>
      </c>
      <c r="C16" s="185" t="s">
        <v>1</v>
      </c>
      <c r="D16" s="196">
        <f>SUM(D17:D27)</f>
        <v>197002700000</v>
      </c>
      <c r="E16" s="196">
        <f>SUM(E17:E27)</f>
        <v>34477211429.360001</v>
      </c>
      <c r="F16" s="196">
        <f>SUM(F17:F27)</f>
        <v>12168363946</v>
      </c>
      <c r="G16" s="191">
        <f>SUM(G17:G27)</f>
        <v>46645575375.360001</v>
      </c>
      <c r="H16" s="236">
        <f t="shared" ref="H16:H27" si="1">G16/D16</f>
        <v>0.2367763252755419</v>
      </c>
      <c r="I16" s="210"/>
      <c r="J16" s="297"/>
      <c r="K16" s="298"/>
      <c r="L16" s="279"/>
      <c r="M16" s="279"/>
      <c r="N16" s="279"/>
      <c r="O16" s="279"/>
    </row>
    <row r="17" spans="1:15" s="176" customFormat="1" ht="18.75" customHeight="1" x14ac:dyDescent="0.25">
      <c r="A17" s="188"/>
      <c r="B17" s="177" t="s">
        <v>269</v>
      </c>
      <c r="C17" s="183" t="s">
        <v>20</v>
      </c>
      <c r="D17" s="192">
        <v>6000000000</v>
      </c>
      <c r="E17" s="192">
        <f>'Realisasi April'!G17</f>
        <v>1514654786</v>
      </c>
      <c r="F17" s="192">
        <v>343093760</v>
      </c>
      <c r="G17" s="192">
        <f>E17+F17</f>
        <v>1857748546</v>
      </c>
      <c r="H17" s="24">
        <f t="shared" si="1"/>
        <v>0.30962475766666664</v>
      </c>
      <c r="I17" s="211" t="s">
        <v>21</v>
      </c>
      <c r="J17" s="294"/>
      <c r="K17" s="296"/>
      <c r="L17" s="282"/>
      <c r="M17" s="282"/>
      <c r="N17" s="282"/>
      <c r="O17" s="282"/>
    </row>
    <row r="18" spans="1:15" s="176" customFormat="1" ht="18.75" customHeight="1" x14ac:dyDescent="0.25">
      <c r="A18" s="188"/>
      <c r="B18" s="177" t="s">
        <v>270</v>
      </c>
      <c r="C18" s="183" t="s">
        <v>22</v>
      </c>
      <c r="D18" s="192">
        <v>9500000000</v>
      </c>
      <c r="E18" s="192">
        <f>'Realisasi April'!G18</f>
        <v>3009967706</v>
      </c>
      <c r="F18" s="192">
        <v>947305554</v>
      </c>
      <c r="G18" s="192">
        <f t="shared" ref="G18:G27" si="2">E18+F18</f>
        <v>3957273260</v>
      </c>
      <c r="H18" s="24">
        <f t="shared" si="1"/>
        <v>0.41655508000000002</v>
      </c>
      <c r="I18" s="212" t="s">
        <v>23</v>
      </c>
      <c r="J18" s="294"/>
      <c r="K18" s="296"/>
      <c r="L18" s="282"/>
      <c r="M18" s="282" t="s">
        <v>629</v>
      </c>
      <c r="N18" s="282"/>
      <c r="O18" s="282"/>
    </row>
    <row r="19" spans="1:15" s="176" customFormat="1" ht="18.75" customHeight="1" x14ac:dyDescent="0.25">
      <c r="A19" s="188"/>
      <c r="B19" s="177" t="s">
        <v>271</v>
      </c>
      <c r="C19" s="183" t="s">
        <v>24</v>
      </c>
      <c r="D19" s="192">
        <v>1500000000</v>
      </c>
      <c r="E19" s="192">
        <f>'Realisasi April'!G19</f>
        <v>496815712</v>
      </c>
      <c r="F19" s="192">
        <v>80931509</v>
      </c>
      <c r="G19" s="192">
        <f t="shared" si="2"/>
        <v>577747221</v>
      </c>
      <c r="H19" s="24">
        <f t="shared" si="1"/>
        <v>0.38516481400000002</v>
      </c>
      <c r="I19" s="211" t="s">
        <v>25</v>
      </c>
      <c r="J19" s="294"/>
      <c r="K19" s="296"/>
      <c r="L19" s="282"/>
      <c r="M19" s="282"/>
      <c r="N19" s="282"/>
      <c r="O19" s="282"/>
    </row>
    <row r="20" spans="1:15" s="176" customFormat="1" ht="18.75" customHeight="1" x14ac:dyDescent="0.25">
      <c r="A20" s="188"/>
      <c r="B20" s="177" t="s">
        <v>272</v>
      </c>
      <c r="C20" s="183" t="s">
        <v>26</v>
      </c>
      <c r="D20" s="192">
        <v>3500000000</v>
      </c>
      <c r="E20" s="192">
        <f>'Realisasi April'!G20</f>
        <v>995084314</v>
      </c>
      <c r="F20" s="192">
        <v>245571373</v>
      </c>
      <c r="G20" s="192">
        <f t="shared" si="2"/>
        <v>1240655687</v>
      </c>
      <c r="H20" s="24">
        <f t="shared" si="1"/>
        <v>0.35447305342857144</v>
      </c>
      <c r="I20" s="211" t="s">
        <v>27</v>
      </c>
      <c r="J20" s="294"/>
      <c r="K20" s="296"/>
      <c r="L20" s="282"/>
      <c r="M20" s="282"/>
      <c r="N20" s="282"/>
      <c r="O20" s="282"/>
    </row>
    <row r="21" spans="1:15" s="176" customFormat="1" ht="18.75" customHeight="1" x14ac:dyDescent="0.25">
      <c r="A21" s="188"/>
      <c r="B21" s="177" t="s">
        <v>676</v>
      </c>
      <c r="C21" s="183" t="s">
        <v>677</v>
      </c>
      <c r="D21" s="192">
        <v>51000000000</v>
      </c>
      <c r="E21" s="192">
        <f>'Realisasi April'!G21</f>
        <v>17066961123.360001</v>
      </c>
      <c r="F21" s="192">
        <f>3415096339+1529887619</f>
        <v>4944983958</v>
      </c>
      <c r="G21" s="192">
        <f t="shared" si="2"/>
        <v>22011945081.360001</v>
      </c>
      <c r="H21" s="24">
        <f t="shared" si="1"/>
        <v>0.4316067663011765</v>
      </c>
      <c r="I21" s="211" t="s">
        <v>28</v>
      </c>
      <c r="J21" s="294"/>
      <c r="K21" s="296"/>
      <c r="L21" s="434"/>
      <c r="M21" s="282"/>
      <c r="N21" s="282"/>
      <c r="O21" s="282"/>
    </row>
    <row r="22" spans="1:15" s="176" customFormat="1" ht="18.75" customHeight="1" x14ac:dyDescent="0.25">
      <c r="A22" s="188"/>
      <c r="B22" s="177" t="s">
        <v>273</v>
      </c>
      <c r="C22" s="183" t="s">
        <v>31</v>
      </c>
      <c r="D22" s="192">
        <v>1800000000</v>
      </c>
      <c r="E22" s="192">
        <f>'Realisasi April'!G22</f>
        <v>236573700</v>
      </c>
      <c r="F22" s="192">
        <v>64038900</v>
      </c>
      <c r="G22" s="192">
        <f t="shared" si="2"/>
        <v>300612600</v>
      </c>
      <c r="H22" s="24">
        <f t="shared" si="1"/>
        <v>0.16700699999999999</v>
      </c>
      <c r="I22" s="213" t="s">
        <v>32</v>
      </c>
      <c r="J22" s="294"/>
      <c r="K22" s="296"/>
      <c r="L22" s="282"/>
      <c r="M22" s="282"/>
      <c r="N22" s="282"/>
      <c r="O22" s="282"/>
    </row>
    <row r="23" spans="1:15" s="176" customFormat="1" ht="18.75" customHeight="1" x14ac:dyDescent="0.25">
      <c r="A23" s="188"/>
      <c r="B23" s="177" t="s">
        <v>274</v>
      </c>
      <c r="C23" s="183" t="s">
        <v>33</v>
      </c>
      <c r="D23" s="192">
        <v>1430800000</v>
      </c>
      <c r="E23" s="192">
        <f>'Realisasi April'!G23</f>
        <v>334594677</v>
      </c>
      <c r="F23" s="192">
        <v>72593359</v>
      </c>
      <c r="G23" s="192">
        <f t="shared" si="2"/>
        <v>407188036</v>
      </c>
      <c r="H23" s="24">
        <f t="shared" si="1"/>
        <v>0.28458766843723793</v>
      </c>
      <c r="I23" s="213" t="s">
        <v>34</v>
      </c>
      <c r="J23" s="294"/>
      <c r="K23" s="296"/>
      <c r="L23" s="282"/>
      <c r="M23" s="282"/>
      <c r="N23" s="282"/>
      <c r="O23" s="282"/>
    </row>
    <row r="24" spans="1:15" s="176" customFormat="1" ht="18.75" customHeight="1" x14ac:dyDescent="0.25">
      <c r="A24" s="188"/>
      <c r="B24" s="177" t="s">
        <v>275</v>
      </c>
      <c r="C24" s="183" t="s">
        <v>35</v>
      </c>
      <c r="D24" s="192">
        <v>115200000</v>
      </c>
      <c r="E24" s="192">
        <f>'Realisasi April'!G24</f>
        <v>37675900</v>
      </c>
      <c r="F24" s="192">
        <v>4837000</v>
      </c>
      <c r="G24" s="192">
        <f t="shared" si="2"/>
        <v>42512900</v>
      </c>
      <c r="H24" s="24">
        <f t="shared" si="1"/>
        <v>0.36903559027777777</v>
      </c>
      <c r="I24" s="213" t="s">
        <v>36</v>
      </c>
      <c r="J24" s="294"/>
      <c r="K24" s="296"/>
      <c r="L24" s="282"/>
      <c r="M24" s="282"/>
      <c r="N24" s="282"/>
      <c r="O24" s="282"/>
    </row>
    <row r="25" spans="1:15" s="176" customFormat="1" ht="18.75" customHeight="1" x14ac:dyDescent="0.25">
      <c r="A25" s="188"/>
      <c r="B25" s="177" t="s">
        <v>276</v>
      </c>
      <c r="C25" s="183" t="s">
        <v>29</v>
      </c>
      <c r="D25" s="192">
        <v>1606700000</v>
      </c>
      <c r="E25" s="192">
        <f>'Realisasi April'!G25</f>
        <v>0</v>
      </c>
      <c r="F25" s="192">
        <v>0</v>
      </c>
      <c r="G25" s="192">
        <f t="shared" si="2"/>
        <v>0</v>
      </c>
      <c r="H25" s="24">
        <f t="shared" si="1"/>
        <v>0</v>
      </c>
      <c r="I25" s="214" t="s">
        <v>30</v>
      </c>
      <c r="J25" s="294"/>
      <c r="K25" s="296"/>
      <c r="L25" s="295"/>
      <c r="M25" s="295"/>
      <c r="N25" s="282"/>
      <c r="O25" s="282"/>
    </row>
    <row r="26" spans="1:15" s="176" customFormat="1" ht="18.75" customHeight="1" x14ac:dyDescent="0.25">
      <c r="A26" s="188"/>
      <c r="B26" s="177" t="s">
        <v>277</v>
      </c>
      <c r="C26" s="171" t="s">
        <v>278</v>
      </c>
      <c r="D26" s="178">
        <v>101000000000</v>
      </c>
      <c r="E26" s="192">
        <f>'Realisasi April'!G26</f>
        <v>6935804124</v>
      </c>
      <c r="F26" s="178">
        <v>5194991310</v>
      </c>
      <c r="G26" s="192">
        <f t="shared" si="2"/>
        <v>12130795434</v>
      </c>
      <c r="H26" s="24">
        <f t="shared" si="1"/>
        <v>0.12010688548514852</v>
      </c>
      <c r="I26" s="213" t="s">
        <v>37</v>
      </c>
      <c r="J26" s="294"/>
      <c r="K26" s="296"/>
      <c r="L26" s="295"/>
      <c r="M26" s="295"/>
    </row>
    <row r="27" spans="1:15" s="176" customFormat="1" x14ac:dyDescent="0.25">
      <c r="A27" s="188"/>
      <c r="B27" s="177" t="s">
        <v>279</v>
      </c>
      <c r="C27" s="183" t="s">
        <v>38</v>
      </c>
      <c r="D27" s="178">
        <v>19550000000</v>
      </c>
      <c r="E27" s="192">
        <f>'Realisasi April'!G27</f>
        <v>3849079387</v>
      </c>
      <c r="F27" s="178">
        <v>270017223</v>
      </c>
      <c r="G27" s="192">
        <f t="shared" si="2"/>
        <v>4119096610</v>
      </c>
      <c r="H27" s="24">
        <f t="shared" si="1"/>
        <v>0.21069547877237851</v>
      </c>
      <c r="I27" s="215" t="s">
        <v>474</v>
      </c>
      <c r="J27" s="294"/>
      <c r="K27" s="296"/>
      <c r="L27" s="295"/>
      <c r="M27" s="295"/>
    </row>
    <row r="28" spans="1:15" s="176" customFormat="1" x14ac:dyDescent="0.25">
      <c r="A28" s="169"/>
      <c r="B28" s="22"/>
      <c r="C28" s="25"/>
      <c r="D28" s="191"/>
      <c r="E28" s="192"/>
      <c r="F28" s="191"/>
      <c r="G28" s="191"/>
      <c r="H28" s="236"/>
      <c r="I28" s="216"/>
      <c r="J28" s="294"/>
      <c r="K28" s="295"/>
    </row>
    <row r="29" spans="1:15" s="187" customFormat="1" x14ac:dyDescent="0.25">
      <c r="A29" s="26" t="s">
        <v>39</v>
      </c>
      <c r="B29" s="22" t="s">
        <v>282</v>
      </c>
      <c r="C29" s="185" t="s">
        <v>40</v>
      </c>
      <c r="D29" s="196">
        <f>D30</f>
        <v>1000000000</v>
      </c>
      <c r="E29" s="196">
        <f t="shared" ref="E29:G29" si="3">E30</f>
        <v>222692000</v>
      </c>
      <c r="F29" s="196">
        <f t="shared" si="3"/>
        <v>42363000</v>
      </c>
      <c r="G29" s="196">
        <f t="shared" si="3"/>
        <v>265055000</v>
      </c>
      <c r="H29" s="236">
        <f t="shared" ref="H29:H35" si="4">G29/D29</f>
        <v>0.26505499999999999</v>
      </c>
      <c r="I29" s="216"/>
      <c r="J29" s="297"/>
      <c r="K29" s="298"/>
    </row>
    <row r="30" spans="1:15" s="187" customFormat="1" x14ac:dyDescent="0.25">
      <c r="A30" s="26" t="s">
        <v>413</v>
      </c>
      <c r="B30" s="170" t="s">
        <v>288</v>
      </c>
      <c r="C30" s="185" t="s">
        <v>55</v>
      </c>
      <c r="D30" s="196">
        <f>D31+D37</f>
        <v>1000000000</v>
      </c>
      <c r="E30" s="196">
        <f t="shared" ref="E30:G30" si="5">E31+E37</f>
        <v>222692000</v>
      </c>
      <c r="F30" s="196">
        <f t="shared" si="5"/>
        <v>42363000</v>
      </c>
      <c r="G30" s="196">
        <f t="shared" si="5"/>
        <v>265055000</v>
      </c>
      <c r="H30" s="236">
        <f t="shared" si="4"/>
        <v>0.26505499999999999</v>
      </c>
      <c r="I30" s="216"/>
      <c r="J30" s="297"/>
      <c r="K30" s="298"/>
    </row>
    <row r="31" spans="1:15" s="176" customFormat="1" x14ac:dyDescent="0.25">
      <c r="A31" s="188"/>
      <c r="B31" s="179" t="s">
        <v>488</v>
      </c>
      <c r="C31" s="185" t="s">
        <v>280</v>
      </c>
      <c r="D31" s="191">
        <f>SUM(D32:D35)</f>
        <v>750000000</v>
      </c>
      <c r="E31" s="191">
        <f t="shared" ref="E31:F31" si="6">SUM(E32:E35)</f>
        <v>118556000</v>
      </c>
      <c r="F31" s="191">
        <f t="shared" si="6"/>
        <v>28055000</v>
      </c>
      <c r="G31" s="191">
        <f>SUM(G32:G35)</f>
        <v>146611000</v>
      </c>
      <c r="H31" s="236">
        <f t="shared" si="4"/>
        <v>0.19548133333333334</v>
      </c>
      <c r="I31" s="207" t="s">
        <v>41</v>
      </c>
      <c r="J31" s="294"/>
      <c r="K31" s="295"/>
    </row>
    <row r="32" spans="1:15" s="176" customFormat="1" x14ac:dyDescent="0.25">
      <c r="A32" s="188"/>
      <c r="B32" s="177" t="s">
        <v>489</v>
      </c>
      <c r="C32" s="183" t="s">
        <v>42</v>
      </c>
      <c r="D32" s="192">
        <v>220000000</v>
      </c>
      <c r="E32" s="192">
        <f>'Realisasi April'!G32</f>
        <v>23521000</v>
      </c>
      <c r="F32" s="192">
        <v>6460000</v>
      </c>
      <c r="G32" s="192">
        <f>E32+F32</f>
        <v>29981000</v>
      </c>
      <c r="H32" s="24">
        <f t="shared" si="4"/>
        <v>0.13627727272727272</v>
      </c>
      <c r="I32" s="207"/>
      <c r="J32" s="294"/>
      <c r="K32" s="295"/>
    </row>
    <row r="33" spans="1:10" s="176" customFormat="1" x14ac:dyDescent="0.25">
      <c r="A33" s="188"/>
      <c r="B33" s="177" t="s">
        <v>490</v>
      </c>
      <c r="C33" s="183" t="s">
        <v>43</v>
      </c>
      <c r="D33" s="192">
        <v>494000000</v>
      </c>
      <c r="E33" s="192">
        <f>'Realisasi April'!G33</f>
        <v>82705000</v>
      </c>
      <c r="F33" s="192">
        <v>18775000</v>
      </c>
      <c r="G33" s="192">
        <f t="shared" ref="G33:G35" si="7">E33+F33</f>
        <v>101480000</v>
      </c>
      <c r="H33" s="24">
        <f t="shared" si="4"/>
        <v>0.20542510121457491</v>
      </c>
      <c r="I33" s="207"/>
      <c r="J33" s="175"/>
    </row>
    <row r="34" spans="1:10" s="176" customFormat="1" x14ac:dyDescent="0.25">
      <c r="A34" s="188"/>
      <c r="B34" s="177" t="s">
        <v>491</v>
      </c>
      <c r="C34" s="183" t="s">
        <v>44</v>
      </c>
      <c r="D34" s="192">
        <v>36000000</v>
      </c>
      <c r="E34" s="192">
        <f>'Realisasi April'!G34</f>
        <v>12330000</v>
      </c>
      <c r="F34" s="192">
        <v>2820000</v>
      </c>
      <c r="G34" s="192">
        <f t="shared" si="7"/>
        <v>15150000</v>
      </c>
      <c r="H34" s="24">
        <f t="shared" si="4"/>
        <v>0.42083333333333334</v>
      </c>
      <c r="I34" s="207"/>
      <c r="J34" s="175"/>
    </row>
    <row r="35" spans="1:10" s="176" customFormat="1" hidden="1" x14ac:dyDescent="0.25">
      <c r="A35" s="188"/>
      <c r="B35" s="177"/>
      <c r="C35" s="183" t="s">
        <v>45</v>
      </c>
      <c r="D35" s="192"/>
      <c r="E35" s="192">
        <f>'Realisasi Februari'!G35</f>
        <v>0</v>
      </c>
      <c r="F35" s="192"/>
      <c r="G35" s="192">
        <f t="shared" si="7"/>
        <v>0</v>
      </c>
      <c r="H35" s="24" t="e">
        <f t="shared" si="4"/>
        <v>#DIV/0!</v>
      </c>
      <c r="I35" s="207"/>
      <c r="J35" s="175"/>
    </row>
    <row r="36" spans="1:10" s="176" customFormat="1" ht="15" customHeight="1" x14ac:dyDescent="0.25">
      <c r="A36" s="188"/>
      <c r="B36" s="177"/>
      <c r="C36" s="166"/>
      <c r="D36" s="192"/>
      <c r="E36" s="192"/>
      <c r="F36" s="192"/>
      <c r="G36" s="192"/>
      <c r="H36" s="24"/>
      <c r="I36" s="207"/>
      <c r="J36" s="175"/>
    </row>
    <row r="37" spans="1:10" s="187" customFormat="1" x14ac:dyDescent="0.25">
      <c r="A37" s="26" t="s">
        <v>414</v>
      </c>
      <c r="B37" s="170" t="s">
        <v>492</v>
      </c>
      <c r="C37" s="185" t="s">
        <v>494</v>
      </c>
      <c r="D37" s="196">
        <f>D38</f>
        <v>250000000</v>
      </c>
      <c r="E37" s="196">
        <f t="shared" ref="E37:G37" si="8">E38</f>
        <v>104136000</v>
      </c>
      <c r="F37" s="196">
        <f t="shared" si="8"/>
        <v>14308000</v>
      </c>
      <c r="G37" s="196">
        <f t="shared" si="8"/>
        <v>118444000</v>
      </c>
      <c r="H37" s="236">
        <f>G37/D37</f>
        <v>0.47377599999999997</v>
      </c>
      <c r="I37" s="216"/>
      <c r="J37" s="186"/>
    </row>
    <row r="38" spans="1:10" s="176" customFormat="1" x14ac:dyDescent="0.25">
      <c r="A38" s="188"/>
      <c r="B38" s="177" t="s">
        <v>493</v>
      </c>
      <c r="C38" s="183" t="s">
        <v>495</v>
      </c>
      <c r="D38" s="192">
        <v>250000000</v>
      </c>
      <c r="E38" s="192">
        <f>'Realisasi April'!G38</f>
        <v>104136000</v>
      </c>
      <c r="F38" s="192">
        <v>14308000</v>
      </c>
      <c r="G38" s="181">
        <f>E38+F38</f>
        <v>118444000</v>
      </c>
      <c r="H38" s="24">
        <f>G38/D38</f>
        <v>0.47377599999999997</v>
      </c>
      <c r="I38" s="207" t="s">
        <v>41</v>
      </c>
      <c r="J38" s="175"/>
    </row>
    <row r="39" spans="1:10" s="176" customFormat="1" ht="15" customHeight="1" x14ac:dyDescent="0.25">
      <c r="A39" s="188"/>
      <c r="B39" s="177"/>
      <c r="C39" s="166"/>
      <c r="D39" s="192"/>
      <c r="E39" s="192"/>
      <c r="F39" s="192"/>
      <c r="G39" s="192"/>
      <c r="H39" s="24"/>
      <c r="I39" s="207"/>
      <c r="J39" s="175"/>
    </row>
    <row r="40" spans="1:10" s="176" customFormat="1" x14ac:dyDescent="0.25">
      <c r="A40" s="168" t="s">
        <v>46</v>
      </c>
      <c r="B40" s="22" t="s">
        <v>592</v>
      </c>
      <c r="C40" s="185" t="s">
        <v>594</v>
      </c>
      <c r="D40" s="196">
        <f>D41+D47</f>
        <v>15125050000</v>
      </c>
      <c r="E40" s="196">
        <f t="shared" ref="E40:G40" si="9">E41+E47</f>
        <v>16200000</v>
      </c>
      <c r="F40" s="196">
        <f t="shared" si="9"/>
        <v>620237938.25</v>
      </c>
      <c r="G40" s="196">
        <f t="shared" si="9"/>
        <v>636437938.25</v>
      </c>
      <c r="H40" s="236">
        <f t="shared" ref="H40:H47" si="10">G40/D40</f>
        <v>4.2078402269744561E-2</v>
      </c>
      <c r="I40" s="207"/>
      <c r="J40" s="175"/>
    </row>
    <row r="41" spans="1:10" s="176" customFormat="1" x14ac:dyDescent="0.25">
      <c r="A41" s="188"/>
      <c r="B41" s="170" t="s">
        <v>285</v>
      </c>
      <c r="C41" s="185" t="s">
        <v>444</v>
      </c>
      <c r="D41" s="191">
        <f>D42</f>
        <v>135000000</v>
      </c>
      <c r="E41" s="191">
        <f t="shared" ref="E41:G41" si="11">E42</f>
        <v>16200000</v>
      </c>
      <c r="F41" s="191">
        <f t="shared" si="11"/>
        <v>6400000</v>
      </c>
      <c r="G41" s="191">
        <f t="shared" si="11"/>
        <v>22600000</v>
      </c>
      <c r="H41" s="236">
        <f t="shared" si="10"/>
        <v>0.16740740740740739</v>
      </c>
      <c r="I41" s="207"/>
      <c r="J41" s="175"/>
    </row>
    <row r="42" spans="1:10" s="187" customFormat="1" x14ac:dyDescent="0.25">
      <c r="A42" s="169"/>
      <c r="B42" s="170" t="s">
        <v>284</v>
      </c>
      <c r="C42" s="185" t="s">
        <v>595</v>
      </c>
      <c r="D42" s="191">
        <f>SUM(D43)</f>
        <v>135000000</v>
      </c>
      <c r="E42" s="191">
        <f t="shared" ref="E42:G42" si="12">SUM(E43)</f>
        <v>16200000</v>
      </c>
      <c r="F42" s="191">
        <f t="shared" si="12"/>
        <v>6400000</v>
      </c>
      <c r="G42" s="191">
        <f t="shared" si="12"/>
        <v>22600000</v>
      </c>
      <c r="H42" s="236">
        <f t="shared" si="10"/>
        <v>0.16740740740740739</v>
      </c>
      <c r="I42" s="216"/>
      <c r="J42" s="186"/>
    </row>
    <row r="43" spans="1:10" s="176" customFormat="1" x14ac:dyDescent="0.25">
      <c r="A43" s="188"/>
      <c r="B43" s="170" t="s">
        <v>593</v>
      </c>
      <c r="C43" s="185" t="s">
        <v>595</v>
      </c>
      <c r="D43" s="191">
        <f>SUM(D44:D45)</f>
        <v>135000000</v>
      </c>
      <c r="E43" s="191">
        <f t="shared" ref="E43:G43" si="13">SUM(E44:E45)</f>
        <v>16200000</v>
      </c>
      <c r="F43" s="191">
        <f t="shared" si="13"/>
        <v>6400000</v>
      </c>
      <c r="G43" s="191">
        <f t="shared" si="13"/>
        <v>22600000</v>
      </c>
      <c r="H43" s="236">
        <f t="shared" si="10"/>
        <v>0.16740740740740739</v>
      </c>
      <c r="I43" s="207" t="s">
        <v>47</v>
      </c>
      <c r="J43" s="175"/>
    </row>
    <row r="44" spans="1:10" s="176" customFormat="1" x14ac:dyDescent="0.25">
      <c r="A44" s="188"/>
      <c r="B44" s="178"/>
      <c r="C44" s="193" t="s">
        <v>316</v>
      </c>
      <c r="D44" s="192">
        <v>5000000</v>
      </c>
      <c r="E44" s="192">
        <f>'Realisasi April'!G44</f>
        <v>600000</v>
      </c>
      <c r="F44" s="192">
        <f>'[3]2022'!$G$28</f>
        <v>0</v>
      </c>
      <c r="G44" s="192">
        <f>E44+F44</f>
        <v>600000</v>
      </c>
      <c r="H44" s="24">
        <f t="shared" si="10"/>
        <v>0.12</v>
      </c>
      <c r="I44" s="207"/>
      <c r="J44" s="175"/>
    </row>
    <row r="45" spans="1:10" s="176" customFormat="1" x14ac:dyDescent="0.25">
      <c r="A45" s="188"/>
      <c r="B45" s="178"/>
      <c r="C45" s="193" t="s">
        <v>317</v>
      </c>
      <c r="D45" s="192">
        <v>130000000</v>
      </c>
      <c r="E45" s="192">
        <f>'Realisasi April'!G45</f>
        <v>15600000</v>
      </c>
      <c r="F45" s="192">
        <v>6400000</v>
      </c>
      <c r="G45" s="192">
        <f>E45+F45</f>
        <v>22000000</v>
      </c>
      <c r="H45" s="24">
        <f t="shared" si="10"/>
        <v>0.16923076923076924</v>
      </c>
      <c r="I45" s="207"/>
      <c r="J45" s="175"/>
    </row>
    <row r="46" spans="1:10" s="176" customFormat="1" x14ac:dyDescent="0.25">
      <c r="A46" s="188"/>
      <c r="B46" s="178"/>
      <c r="C46" s="193"/>
      <c r="D46" s="192"/>
      <c r="E46" s="192"/>
      <c r="F46" s="192"/>
      <c r="G46" s="192">
        <f t="shared" ref="G46:G47" si="14">E46+F46</f>
        <v>0</v>
      </c>
      <c r="H46" s="24" t="e">
        <f t="shared" si="10"/>
        <v>#DIV/0!</v>
      </c>
      <c r="I46" s="207"/>
      <c r="J46" s="175"/>
    </row>
    <row r="47" spans="1:10" s="176" customFormat="1" x14ac:dyDescent="0.25">
      <c r="A47" s="188"/>
      <c r="B47" s="178"/>
      <c r="C47" s="341" t="s">
        <v>692</v>
      </c>
      <c r="D47" s="191">
        <v>14990050000</v>
      </c>
      <c r="E47" s="191"/>
      <c r="F47" s="191">
        <f>'[6]2022'!$G$30</f>
        <v>613837938.25</v>
      </c>
      <c r="G47" s="191">
        <f t="shared" si="14"/>
        <v>613837938.25</v>
      </c>
      <c r="H47" s="236">
        <f t="shared" si="10"/>
        <v>4.0949692512700094E-2</v>
      </c>
      <c r="I47" s="207"/>
      <c r="J47" s="175"/>
    </row>
    <row r="48" spans="1:10" s="176" customFormat="1" ht="15" customHeight="1" x14ac:dyDescent="0.25">
      <c r="A48" s="188"/>
      <c r="B48" s="177"/>
      <c r="C48" s="340"/>
      <c r="D48" s="192"/>
      <c r="E48" s="192"/>
      <c r="F48" s="192"/>
      <c r="G48" s="192"/>
      <c r="H48" s="24"/>
      <c r="I48" s="207"/>
      <c r="J48" s="175"/>
    </row>
    <row r="49" spans="1:11" s="176" customFormat="1" x14ac:dyDescent="0.25">
      <c r="A49" s="168" t="s">
        <v>8</v>
      </c>
      <c r="B49" s="22" t="s">
        <v>283</v>
      </c>
      <c r="C49" s="185" t="s">
        <v>48</v>
      </c>
      <c r="D49" s="196">
        <f>SUM(D50)</f>
        <v>50000000</v>
      </c>
      <c r="E49" s="196">
        <f t="shared" ref="E49:G49" si="15">SUM(E50)</f>
        <v>5100000</v>
      </c>
      <c r="F49" s="196">
        <f t="shared" si="15"/>
        <v>3300000</v>
      </c>
      <c r="G49" s="196">
        <f t="shared" si="15"/>
        <v>8400000</v>
      </c>
      <c r="H49" s="236">
        <f>G49/D49</f>
        <v>0.16800000000000001</v>
      </c>
      <c r="I49" s="207"/>
      <c r="J49" s="175"/>
    </row>
    <row r="50" spans="1:11" s="176" customFormat="1" x14ac:dyDescent="0.25">
      <c r="A50" s="188"/>
      <c r="B50" s="170" t="s">
        <v>285</v>
      </c>
      <c r="C50" s="185" t="s">
        <v>444</v>
      </c>
      <c r="D50" s="191">
        <f>D51</f>
        <v>50000000</v>
      </c>
      <c r="E50" s="191">
        <f t="shared" ref="E50:G50" si="16">E51</f>
        <v>5100000</v>
      </c>
      <c r="F50" s="191">
        <f t="shared" si="16"/>
        <v>3300000</v>
      </c>
      <c r="G50" s="191">
        <f t="shared" si="16"/>
        <v>8400000</v>
      </c>
      <c r="H50" s="236">
        <f>G50/D50</f>
        <v>0.16800000000000001</v>
      </c>
      <c r="I50" s="207"/>
      <c r="J50" s="175"/>
    </row>
    <row r="51" spans="1:11" s="187" customFormat="1" x14ac:dyDescent="0.25">
      <c r="A51" s="169"/>
      <c r="B51" s="170" t="s">
        <v>284</v>
      </c>
      <c r="C51" s="185" t="s">
        <v>286</v>
      </c>
      <c r="D51" s="191">
        <f>SUM(D52)</f>
        <v>50000000</v>
      </c>
      <c r="E51" s="191">
        <f t="shared" ref="E51:G51" si="17">SUM(E52)</f>
        <v>5100000</v>
      </c>
      <c r="F51" s="191">
        <f t="shared" si="17"/>
        <v>3300000</v>
      </c>
      <c r="G51" s="191">
        <f t="shared" si="17"/>
        <v>8400000</v>
      </c>
      <c r="H51" s="236">
        <f>G51/D51</f>
        <v>0.16800000000000001</v>
      </c>
      <c r="I51" s="216"/>
      <c r="J51" s="186"/>
    </row>
    <row r="52" spans="1:11" s="176" customFormat="1" x14ac:dyDescent="0.25">
      <c r="A52" s="188"/>
      <c r="B52" s="178" t="s">
        <v>496</v>
      </c>
      <c r="C52" s="183" t="s">
        <v>497</v>
      </c>
      <c r="D52" s="192">
        <v>50000000</v>
      </c>
      <c r="E52" s="192">
        <f>'Realisasi April'!G50</f>
        <v>5100000</v>
      </c>
      <c r="F52" s="192">
        <v>3300000</v>
      </c>
      <c r="G52" s="192">
        <f>E52+F52</f>
        <v>8400000</v>
      </c>
      <c r="H52" s="24">
        <f>G52/D52</f>
        <v>0.16800000000000001</v>
      </c>
      <c r="I52" s="207" t="s">
        <v>47</v>
      </c>
      <c r="J52" s="175"/>
    </row>
    <row r="53" spans="1:11" s="176" customFormat="1" x14ac:dyDescent="0.25">
      <c r="A53" s="169"/>
      <c r="B53" s="22"/>
      <c r="C53" s="25"/>
      <c r="D53" s="192"/>
      <c r="E53" s="192"/>
      <c r="F53" s="192"/>
      <c r="G53" s="191"/>
      <c r="H53" s="236"/>
      <c r="I53" s="207"/>
      <c r="J53" s="175"/>
    </row>
    <row r="54" spans="1:11" s="176" customFormat="1" x14ac:dyDescent="0.25">
      <c r="A54" s="168" t="s">
        <v>49</v>
      </c>
      <c r="B54" s="22" t="s">
        <v>287</v>
      </c>
      <c r="C54" s="185" t="s">
        <v>50</v>
      </c>
      <c r="D54" s="196">
        <f>D55</f>
        <v>750000000</v>
      </c>
      <c r="E54" s="196">
        <f t="shared" ref="E54:G56" si="18">E55</f>
        <v>259460000</v>
      </c>
      <c r="F54" s="196">
        <f t="shared" si="18"/>
        <v>36500000</v>
      </c>
      <c r="G54" s="196">
        <f t="shared" si="18"/>
        <v>295960000</v>
      </c>
      <c r="H54" s="236">
        <f>G54/D54</f>
        <v>0.39461333333333332</v>
      </c>
      <c r="I54" s="207"/>
      <c r="J54" s="175"/>
    </row>
    <row r="55" spans="1:11" s="187" customFormat="1" x14ac:dyDescent="0.25">
      <c r="A55" s="169"/>
      <c r="B55" s="170" t="s">
        <v>288</v>
      </c>
      <c r="C55" s="185" t="s">
        <v>55</v>
      </c>
      <c r="D55" s="191">
        <f>D56</f>
        <v>750000000</v>
      </c>
      <c r="E55" s="191">
        <f t="shared" si="18"/>
        <v>259460000</v>
      </c>
      <c r="F55" s="191">
        <f t="shared" si="18"/>
        <v>36500000</v>
      </c>
      <c r="G55" s="191">
        <f t="shared" si="18"/>
        <v>295960000</v>
      </c>
      <c r="H55" s="236">
        <f>G55/D55</f>
        <v>0.39461333333333332</v>
      </c>
      <c r="I55" s="216" t="s">
        <v>52</v>
      </c>
      <c r="J55" s="186"/>
    </row>
    <row r="56" spans="1:11" s="176" customFormat="1" x14ac:dyDescent="0.25">
      <c r="A56" s="188"/>
      <c r="B56" s="170" t="s">
        <v>499</v>
      </c>
      <c r="C56" s="185" t="s">
        <v>51</v>
      </c>
      <c r="D56" s="191">
        <f>D57</f>
        <v>750000000</v>
      </c>
      <c r="E56" s="191">
        <f t="shared" si="18"/>
        <v>259460000</v>
      </c>
      <c r="F56" s="191">
        <f t="shared" si="18"/>
        <v>36500000</v>
      </c>
      <c r="G56" s="191">
        <f t="shared" si="18"/>
        <v>295960000</v>
      </c>
      <c r="H56" s="236">
        <f>G56/D56</f>
        <v>0.39461333333333332</v>
      </c>
      <c r="I56" s="207"/>
      <c r="J56" s="175"/>
    </row>
    <row r="57" spans="1:11" s="176" customFormat="1" x14ac:dyDescent="0.25">
      <c r="A57" s="188"/>
      <c r="B57" s="178" t="s">
        <v>498</v>
      </c>
      <c r="C57" s="183" t="s">
        <v>51</v>
      </c>
      <c r="D57" s="192">
        <v>750000000</v>
      </c>
      <c r="E57" s="192">
        <f>'Realisasi April'!G55</f>
        <v>259460000</v>
      </c>
      <c r="F57" s="192">
        <v>36500000</v>
      </c>
      <c r="G57" s="192">
        <f>E57+F57</f>
        <v>295960000</v>
      </c>
      <c r="H57" s="24">
        <f>G57/D57</f>
        <v>0.39461333333333332</v>
      </c>
      <c r="I57" s="207"/>
      <c r="J57" s="175"/>
      <c r="K57" s="270"/>
    </row>
    <row r="58" spans="1:11" s="176" customFormat="1" x14ac:dyDescent="0.25">
      <c r="A58" s="169"/>
      <c r="B58" s="22"/>
      <c r="C58" s="25"/>
      <c r="D58" s="191"/>
      <c r="E58" s="191"/>
      <c r="F58" s="191"/>
      <c r="G58" s="191"/>
      <c r="H58" s="236"/>
      <c r="I58" s="217"/>
      <c r="J58" s="175"/>
    </row>
    <row r="59" spans="1:11" s="176" customFormat="1" x14ac:dyDescent="0.25">
      <c r="A59" s="168" t="s">
        <v>53</v>
      </c>
      <c r="B59" s="22" t="s">
        <v>289</v>
      </c>
      <c r="C59" s="185" t="s">
        <v>54</v>
      </c>
      <c r="D59" s="196">
        <f>D60+D65+D72</f>
        <v>30000000000</v>
      </c>
      <c r="E59" s="196">
        <f t="shared" ref="E59:G59" si="19">E60+E65+E72</f>
        <v>7658468200</v>
      </c>
      <c r="F59" s="196">
        <f t="shared" si="19"/>
        <v>1262315050</v>
      </c>
      <c r="G59" s="196">
        <f t="shared" si="19"/>
        <v>8920783250</v>
      </c>
      <c r="H59" s="236">
        <f t="shared" ref="H59:H74" si="20">G59/D59</f>
        <v>0.29735944166666667</v>
      </c>
      <c r="I59" s="209"/>
      <c r="J59" s="175"/>
    </row>
    <row r="60" spans="1:11" s="187" customFormat="1" x14ac:dyDescent="0.25">
      <c r="A60" s="169" t="s">
        <v>413</v>
      </c>
      <c r="B60" s="170" t="s">
        <v>288</v>
      </c>
      <c r="C60" s="185" t="s">
        <v>55</v>
      </c>
      <c r="D60" s="191">
        <f>D61+D63</f>
        <v>1829475000</v>
      </c>
      <c r="E60" s="191">
        <f t="shared" ref="E60:G60" si="21">E61+E63</f>
        <v>154331350</v>
      </c>
      <c r="F60" s="191">
        <f t="shared" si="21"/>
        <v>28134800</v>
      </c>
      <c r="G60" s="191">
        <f t="shared" si="21"/>
        <v>182466150</v>
      </c>
      <c r="H60" s="236">
        <f t="shared" si="20"/>
        <v>9.9736891731234373E-2</v>
      </c>
      <c r="I60" s="207"/>
      <c r="J60" s="186"/>
    </row>
    <row r="61" spans="1:11" s="187" customFormat="1" x14ac:dyDescent="0.25">
      <c r="A61" s="169"/>
      <c r="B61" s="170" t="s">
        <v>290</v>
      </c>
      <c r="C61" s="185" t="s">
        <v>56</v>
      </c>
      <c r="D61" s="191">
        <f>D62</f>
        <v>1000000000</v>
      </c>
      <c r="E61" s="191">
        <f t="shared" ref="E61:G61" si="22">E62</f>
        <v>117100000</v>
      </c>
      <c r="F61" s="191">
        <f t="shared" si="22"/>
        <v>23000000</v>
      </c>
      <c r="G61" s="191">
        <f t="shared" si="22"/>
        <v>140100000</v>
      </c>
      <c r="H61" s="236">
        <f t="shared" si="20"/>
        <v>0.1401</v>
      </c>
      <c r="I61" s="207"/>
      <c r="J61" s="186"/>
    </row>
    <row r="62" spans="1:11" s="176" customFormat="1" x14ac:dyDescent="0.25">
      <c r="A62" s="188"/>
      <c r="B62" s="178" t="s">
        <v>500</v>
      </c>
      <c r="C62" s="183" t="s">
        <v>56</v>
      </c>
      <c r="D62" s="192">
        <v>1000000000</v>
      </c>
      <c r="E62" s="192">
        <f>'Realisasi April'!G60</f>
        <v>117100000</v>
      </c>
      <c r="F62" s="192">
        <v>23000000</v>
      </c>
      <c r="G62" s="192">
        <f>E62+F62</f>
        <v>140100000</v>
      </c>
      <c r="H62" s="24">
        <f t="shared" si="20"/>
        <v>0.1401</v>
      </c>
      <c r="I62" s="207" t="s">
        <v>57</v>
      </c>
      <c r="J62" s="175"/>
    </row>
    <row r="63" spans="1:11" s="176" customFormat="1" x14ac:dyDescent="0.25">
      <c r="A63" s="188"/>
      <c r="B63" s="170" t="s">
        <v>291</v>
      </c>
      <c r="C63" s="185" t="s">
        <v>292</v>
      </c>
      <c r="D63" s="191">
        <f>D64</f>
        <v>829475000</v>
      </c>
      <c r="E63" s="191">
        <f t="shared" ref="E63:G63" si="23">E64</f>
        <v>37231350</v>
      </c>
      <c r="F63" s="191">
        <f t="shared" si="23"/>
        <v>5134800</v>
      </c>
      <c r="G63" s="191">
        <f t="shared" si="23"/>
        <v>42366150</v>
      </c>
      <c r="H63" s="236">
        <f t="shared" si="20"/>
        <v>5.107586123752976E-2</v>
      </c>
      <c r="I63" s="207"/>
      <c r="J63" s="175"/>
    </row>
    <row r="64" spans="1:11" s="187" customFormat="1" ht="22.5" customHeight="1" x14ac:dyDescent="0.25">
      <c r="A64" s="169"/>
      <c r="B64" s="178" t="s">
        <v>501</v>
      </c>
      <c r="C64" s="183" t="s">
        <v>292</v>
      </c>
      <c r="D64" s="192">
        <v>829475000</v>
      </c>
      <c r="E64" s="192">
        <f>'Realisasi April'!G62</f>
        <v>37231350</v>
      </c>
      <c r="F64" s="192">
        <v>5134800</v>
      </c>
      <c r="G64" s="192">
        <f>E64+F64</f>
        <v>42366150</v>
      </c>
      <c r="H64" s="24">
        <f t="shared" si="20"/>
        <v>5.107586123752976E-2</v>
      </c>
      <c r="I64" s="207" t="s">
        <v>58</v>
      </c>
      <c r="J64" s="186"/>
    </row>
    <row r="65" spans="1:10" s="176" customFormat="1" x14ac:dyDescent="0.25">
      <c r="A65" s="169" t="s">
        <v>414</v>
      </c>
      <c r="B65" s="170" t="s">
        <v>285</v>
      </c>
      <c r="C65" s="185" t="s">
        <v>444</v>
      </c>
      <c r="D65" s="191">
        <f>D66+D68+D70</f>
        <v>28168525000</v>
      </c>
      <c r="E65" s="191">
        <f t="shared" ref="E65:G65" si="24">E66+E68+E70</f>
        <v>7504136850</v>
      </c>
      <c r="F65" s="191">
        <f t="shared" si="24"/>
        <v>1234180250</v>
      </c>
      <c r="G65" s="191">
        <f t="shared" si="24"/>
        <v>8738317100</v>
      </c>
      <c r="H65" s="236">
        <f t="shared" si="20"/>
        <v>0.31021564316910455</v>
      </c>
      <c r="I65" s="207" t="s">
        <v>59</v>
      </c>
      <c r="J65" s="175"/>
    </row>
    <row r="66" spans="1:10" s="176" customFormat="1" x14ac:dyDescent="0.25">
      <c r="A66" s="169"/>
      <c r="B66" s="170" t="s">
        <v>293</v>
      </c>
      <c r="C66" s="185" t="s">
        <v>502</v>
      </c>
      <c r="D66" s="191">
        <f>D67</f>
        <v>74722500</v>
      </c>
      <c r="E66" s="191">
        <f t="shared" ref="E66:G66" si="25">E67</f>
        <v>23226000</v>
      </c>
      <c r="F66" s="191">
        <f t="shared" si="25"/>
        <v>5488000</v>
      </c>
      <c r="G66" s="191">
        <f t="shared" si="25"/>
        <v>28714000</v>
      </c>
      <c r="H66" s="236">
        <f t="shared" si="20"/>
        <v>0.38427515139348922</v>
      </c>
      <c r="I66" s="207"/>
      <c r="J66" s="175"/>
    </row>
    <row r="67" spans="1:10" s="176" customFormat="1" x14ac:dyDescent="0.25">
      <c r="A67" s="188"/>
      <c r="B67" s="178" t="s">
        <v>503</v>
      </c>
      <c r="C67" s="183" t="s">
        <v>504</v>
      </c>
      <c r="D67" s="192">
        <v>74722500</v>
      </c>
      <c r="E67" s="192">
        <f>'Realisasi April'!G65</f>
        <v>23226000</v>
      </c>
      <c r="F67" s="192">
        <v>5488000</v>
      </c>
      <c r="G67" s="192">
        <f>E67+F67</f>
        <v>28714000</v>
      </c>
      <c r="H67" s="24">
        <f t="shared" si="20"/>
        <v>0.38427515139348922</v>
      </c>
      <c r="I67" s="207"/>
      <c r="J67" s="175"/>
    </row>
    <row r="68" spans="1:10" s="176" customFormat="1" x14ac:dyDescent="0.25">
      <c r="A68" s="169"/>
      <c r="B68" s="170" t="s">
        <v>294</v>
      </c>
      <c r="C68" s="185" t="s">
        <v>295</v>
      </c>
      <c r="D68" s="191">
        <f>D69</f>
        <v>27808802500</v>
      </c>
      <c r="E68" s="191">
        <f t="shared" ref="E68:G68" si="26">E69</f>
        <v>7464252000</v>
      </c>
      <c r="F68" s="191">
        <f t="shared" si="26"/>
        <v>1225597600</v>
      </c>
      <c r="G68" s="191">
        <f t="shared" si="26"/>
        <v>8689849600</v>
      </c>
      <c r="H68" s="236">
        <f t="shared" si="20"/>
        <v>0.31248557358771561</v>
      </c>
      <c r="I68" s="218"/>
      <c r="J68" s="175"/>
    </row>
    <row r="69" spans="1:10" s="176" customFormat="1" x14ac:dyDescent="0.25">
      <c r="A69" s="188"/>
      <c r="B69" s="178" t="s">
        <v>505</v>
      </c>
      <c r="C69" s="183" t="s">
        <v>295</v>
      </c>
      <c r="D69" s="192">
        <v>27808802500</v>
      </c>
      <c r="E69" s="192">
        <f>'Realisasi April'!G67</f>
        <v>7464252000</v>
      </c>
      <c r="F69" s="192">
        <v>1225597600</v>
      </c>
      <c r="G69" s="192">
        <f>E69+F69</f>
        <v>8689849600</v>
      </c>
      <c r="H69" s="24">
        <f t="shared" si="20"/>
        <v>0.31248557358771561</v>
      </c>
      <c r="I69" s="218"/>
      <c r="J69" s="175"/>
    </row>
    <row r="70" spans="1:10" s="176" customFormat="1" x14ac:dyDescent="0.25">
      <c r="A70" s="188"/>
      <c r="B70" s="170" t="s">
        <v>296</v>
      </c>
      <c r="C70" s="185" t="s">
        <v>297</v>
      </c>
      <c r="D70" s="191">
        <f>SUM(D71)</f>
        <v>285000000</v>
      </c>
      <c r="E70" s="191">
        <f t="shared" ref="E70:G70" si="27">SUM(E71)</f>
        <v>16658850</v>
      </c>
      <c r="F70" s="191">
        <f t="shared" si="27"/>
        <v>3094650</v>
      </c>
      <c r="G70" s="191">
        <f t="shared" si="27"/>
        <v>19753500</v>
      </c>
      <c r="H70" s="24">
        <f t="shared" si="20"/>
        <v>6.9310526315789475E-2</v>
      </c>
      <c r="I70" s="218"/>
      <c r="J70" s="175"/>
    </row>
    <row r="71" spans="1:10" s="176" customFormat="1" x14ac:dyDescent="0.25">
      <c r="A71" s="188"/>
      <c r="B71" s="178" t="s">
        <v>506</v>
      </c>
      <c r="C71" s="183" t="s">
        <v>297</v>
      </c>
      <c r="D71" s="192">
        <v>285000000</v>
      </c>
      <c r="E71" s="192">
        <f>'Realisasi April'!G69</f>
        <v>16658850</v>
      </c>
      <c r="F71" s="192">
        <v>3094650</v>
      </c>
      <c r="G71" s="192">
        <f>E71+F71</f>
        <v>19753500</v>
      </c>
      <c r="H71" s="24">
        <f t="shared" si="20"/>
        <v>6.9310526315789475E-2</v>
      </c>
      <c r="I71" s="218"/>
      <c r="J71" s="175"/>
    </row>
    <row r="72" spans="1:10" s="176" customFormat="1" x14ac:dyDescent="0.25">
      <c r="A72" s="169" t="s">
        <v>415</v>
      </c>
      <c r="B72" s="170" t="s">
        <v>298</v>
      </c>
      <c r="C72" s="185" t="s">
        <v>60</v>
      </c>
      <c r="D72" s="191">
        <f>SUM(D73)</f>
        <v>2000000</v>
      </c>
      <c r="E72" s="191"/>
      <c r="F72" s="191">
        <f t="shared" ref="F72:G72" si="28">SUM(F73)</f>
        <v>0</v>
      </c>
      <c r="G72" s="191">
        <f t="shared" si="28"/>
        <v>0</v>
      </c>
      <c r="H72" s="236">
        <f t="shared" si="20"/>
        <v>0</v>
      </c>
      <c r="I72" s="207" t="s">
        <v>61</v>
      </c>
      <c r="J72" s="175"/>
    </row>
    <row r="73" spans="1:10" s="187" customFormat="1" x14ac:dyDescent="0.25">
      <c r="A73" s="169"/>
      <c r="B73" s="170" t="s">
        <v>299</v>
      </c>
      <c r="C73" s="185" t="s">
        <v>300</v>
      </c>
      <c r="D73" s="191">
        <f>D74</f>
        <v>2000000</v>
      </c>
      <c r="E73" s="191"/>
      <c r="F73" s="191">
        <f t="shared" ref="F73:G73" si="29">F74</f>
        <v>0</v>
      </c>
      <c r="G73" s="191">
        <f t="shared" si="29"/>
        <v>0</v>
      </c>
      <c r="H73" s="236">
        <f t="shared" si="20"/>
        <v>0</v>
      </c>
      <c r="I73" s="263"/>
      <c r="J73" s="186"/>
    </row>
    <row r="74" spans="1:10" s="176" customFormat="1" x14ac:dyDescent="0.25">
      <c r="A74" s="188"/>
      <c r="B74" s="178" t="s">
        <v>507</v>
      </c>
      <c r="C74" s="183" t="s">
        <v>300</v>
      </c>
      <c r="D74" s="192">
        <v>2000000</v>
      </c>
      <c r="E74" s="192">
        <f>'Realisasi April'!G72</f>
        <v>0</v>
      </c>
      <c r="F74" s="192">
        <v>0</v>
      </c>
      <c r="G74" s="192">
        <f>E74+F74</f>
        <v>0</v>
      </c>
      <c r="H74" s="24">
        <f t="shared" si="20"/>
        <v>0</v>
      </c>
      <c r="I74" s="219"/>
      <c r="J74" s="175"/>
    </row>
    <row r="75" spans="1:10" s="176" customFormat="1" x14ac:dyDescent="0.25">
      <c r="A75" s="188"/>
      <c r="B75" s="178"/>
      <c r="C75" s="183"/>
      <c r="D75" s="192"/>
      <c r="E75" s="192"/>
      <c r="F75" s="192"/>
      <c r="G75" s="191"/>
      <c r="H75" s="236"/>
      <c r="I75" s="220"/>
      <c r="J75" s="175"/>
    </row>
    <row r="76" spans="1:10" s="176" customFormat="1" x14ac:dyDescent="0.25">
      <c r="A76" s="168" t="s">
        <v>62</v>
      </c>
      <c r="B76" s="22" t="s">
        <v>301</v>
      </c>
      <c r="C76" s="185" t="s">
        <v>63</v>
      </c>
      <c r="D76" s="191">
        <f t="shared" ref="D76:G78" si="30">D77</f>
        <v>25000000</v>
      </c>
      <c r="E76" s="191">
        <f t="shared" si="30"/>
        <v>9285000</v>
      </c>
      <c r="F76" s="191">
        <f t="shared" si="30"/>
        <v>2002000</v>
      </c>
      <c r="G76" s="191">
        <f t="shared" si="30"/>
        <v>11287000</v>
      </c>
      <c r="H76" s="236">
        <f>G76/D76</f>
        <v>0.45147999999999999</v>
      </c>
      <c r="I76" s="209"/>
      <c r="J76" s="175"/>
    </row>
    <row r="77" spans="1:10" s="187" customFormat="1" x14ac:dyDescent="0.25">
      <c r="A77" s="169"/>
      <c r="B77" s="170" t="s">
        <v>285</v>
      </c>
      <c r="C77" s="185" t="s">
        <v>444</v>
      </c>
      <c r="D77" s="191">
        <f t="shared" si="30"/>
        <v>25000000</v>
      </c>
      <c r="E77" s="191">
        <f t="shared" si="30"/>
        <v>9285000</v>
      </c>
      <c r="F77" s="191">
        <f t="shared" si="30"/>
        <v>2002000</v>
      </c>
      <c r="G77" s="191">
        <f t="shared" si="30"/>
        <v>11287000</v>
      </c>
      <c r="H77" s="236">
        <f>G77/D77</f>
        <v>0.45147999999999999</v>
      </c>
      <c r="I77" s="216"/>
      <c r="J77" s="186"/>
    </row>
    <row r="78" spans="1:10" s="187" customFormat="1" x14ac:dyDescent="0.25">
      <c r="A78" s="169"/>
      <c r="B78" s="170" t="s">
        <v>302</v>
      </c>
      <c r="C78" s="185" t="s">
        <v>64</v>
      </c>
      <c r="D78" s="191">
        <f>D79</f>
        <v>25000000</v>
      </c>
      <c r="E78" s="191">
        <f t="shared" si="30"/>
        <v>9285000</v>
      </c>
      <c r="F78" s="191">
        <f t="shared" si="30"/>
        <v>2002000</v>
      </c>
      <c r="G78" s="191">
        <f t="shared" si="30"/>
        <v>11287000</v>
      </c>
      <c r="H78" s="236">
        <f>G78/D78</f>
        <v>0.45147999999999999</v>
      </c>
      <c r="I78" s="216"/>
      <c r="J78" s="186"/>
    </row>
    <row r="79" spans="1:10" s="176" customFormat="1" x14ac:dyDescent="0.25">
      <c r="A79" s="27"/>
      <c r="B79" s="178" t="s">
        <v>508</v>
      </c>
      <c r="C79" s="28" t="s">
        <v>509</v>
      </c>
      <c r="D79" s="192">
        <v>25000000</v>
      </c>
      <c r="E79" s="192">
        <f>'Realisasi April'!G77</f>
        <v>9285000</v>
      </c>
      <c r="F79" s="192">
        <f>'[5]2022'!$G$35</f>
        <v>2002000</v>
      </c>
      <c r="G79" s="192">
        <f>E79+F79</f>
        <v>11287000</v>
      </c>
      <c r="H79" s="24">
        <f>G79/D79</f>
        <v>0.45147999999999999</v>
      </c>
      <c r="I79" s="207" t="s">
        <v>65</v>
      </c>
      <c r="J79" s="175"/>
    </row>
    <row r="80" spans="1:10" s="176" customFormat="1" x14ac:dyDescent="0.25">
      <c r="A80" s="27"/>
      <c r="B80" s="178"/>
      <c r="C80" s="171"/>
      <c r="D80" s="192"/>
      <c r="E80" s="192"/>
      <c r="F80" s="192"/>
      <c r="G80" s="191"/>
      <c r="H80" s="236"/>
      <c r="I80" s="207"/>
      <c r="J80" s="175"/>
    </row>
    <row r="81" spans="1:10" s="176" customFormat="1" x14ac:dyDescent="0.25">
      <c r="A81" s="168" t="s">
        <v>66</v>
      </c>
      <c r="B81" s="22" t="s">
        <v>303</v>
      </c>
      <c r="C81" s="185" t="s">
        <v>67</v>
      </c>
      <c r="D81" s="196">
        <f>SUM(D82)</f>
        <v>9950000</v>
      </c>
      <c r="E81" s="196"/>
      <c r="F81" s="196">
        <f t="shared" ref="F81:G81" si="31">SUM(F82)</f>
        <v>0</v>
      </c>
      <c r="G81" s="196">
        <f t="shared" si="31"/>
        <v>0</v>
      </c>
      <c r="H81" s="236">
        <f t="shared" ref="H81:H86" si="32">G81/D81</f>
        <v>0</v>
      </c>
      <c r="I81" s="209"/>
      <c r="J81" s="175"/>
    </row>
    <row r="82" spans="1:10" s="176" customFormat="1" x14ac:dyDescent="0.25">
      <c r="A82" s="27"/>
      <c r="B82" s="170" t="s">
        <v>298</v>
      </c>
      <c r="C82" s="185" t="s">
        <v>60</v>
      </c>
      <c r="D82" s="191">
        <f>D83+D85</f>
        <v>9950000</v>
      </c>
      <c r="E82" s="191"/>
      <c r="F82" s="191">
        <f t="shared" ref="F82:G82" si="33">F83+F85</f>
        <v>0</v>
      </c>
      <c r="G82" s="191">
        <f t="shared" si="33"/>
        <v>0</v>
      </c>
      <c r="H82" s="236">
        <f t="shared" si="32"/>
        <v>0</v>
      </c>
      <c r="I82" s="207"/>
      <c r="J82" s="175"/>
    </row>
    <row r="83" spans="1:10" s="187" customFormat="1" x14ac:dyDescent="0.25">
      <c r="A83" s="264"/>
      <c r="B83" s="170" t="s">
        <v>304</v>
      </c>
      <c r="C83" s="185" t="s">
        <v>68</v>
      </c>
      <c r="D83" s="191">
        <f>D84</f>
        <v>0</v>
      </c>
      <c r="E83" s="191"/>
      <c r="F83" s="191">
        <f t="shared" ref="F83:G83" si="34">F84</f>
        <v>0</v>
      </c>
      <c r="G83" s="191">
        <f t="shared" si="34"/>
        <v>0</v>
      </c>
      <c r="H83" s="236" t="e">
        <f t="shared" si="32"/>
        <v>#DIV/0!</v>
      </c>
      <c r="I83" s="216" t="s">
        <v>69</v>
      </c>
      <c r="J83" s="186"/>
    </row>
    <row r="84" spans="1:10" s="176" customFormat="1" x14ac:dyDescent="0.25">
      <c r="A84" s="27"/>
      <c r="B84" s="178" t="s">
        <v>510</v>
      </c>
      <c r="C84" s="183" t="s">
        <v>68</v>
      </c>
      <c r="D84" s="192">
        <v>0</v>
      </c>
      <c r="E84" s="192">
        <f>'Realisasi April'!G82</f>
        <v>0</v>
      </c>
      <c r="F84" s="192"/>
      <c r="G84" s="192">
        <f>E84+F84</f>
        <v>0</v>
      </c>
      <c r="H84" s="24" t="e">
        <f t="shared" si="32"/>
        <v>#DIV/0!</v>
      </c>
      <c r="I84" s="207" t="s">
        <v>69</v>
      </c>
      <c r="J84" s="175"/>
    </row>
    <row r="85" spans="1:10" s="187" customFormat="1" x14ac:dyDescent="0.25">
      <c r="A85" s="264"/>
      <c r="B85" s="170" t="s">
        <v>305</v>
      </c>
      <c r="C85" s="185" t="s">
        <v>70</v>
      </c>
      <c r="D85" s="191">
        <f>D86</f>
        <v>9950000</v>
      </c>
      <c r="E85" s="191"/>
      <c r="F85" s="191">
        <f t="shared" ref="F85:G85" si="35">F86</f>
        <v>0</v>
      </c>
      <c r="G85" s="191">
        <f t="shared" si="35"/>
        <v>0</v>
      </c>
      <c r="H85" s="236">
        <f t="shared" si="32"/>
        <v>0</v>
      </c>
      <c r="I85" s="216" t="s">
        <v>71</v>
      </c>
      <c r="J85" s="186"/>
    </row>
    <row r="86" spans="1:10" s="176" customFormat="1" x14ac:dyDescent="0.25">
      <c r="A86" s="27"/>
      <c r="B86" s="178" t="s">
        <v>511</v>
      </c>
      <c r="C86" s="183" t="s">
        <v>70</v>
      </c>
      <c r="D86" s="192">
        <v>9950000</v>
      </c>
      <c r="E86" s="192">
        <f>'Realisasi April'!G84</f>
        <v>0</v>
      </c>
      <c r="F86" s="192"/>
      <c r="G86" s="192">
        <f>E86+F86</f>
        <v>0</v>
      </c>
      <c r="H86" s="24">
        <f t="shared" si="32"/>
        <v>0</v>
      </c>
      <c r="I86" s="207" t="s">
        <v>71</v>
      </c>
      <c r="J86" s="175"/>
    </row>
    <row r="87" spans="1:10" s="176" customFormat="1" x14ac:dyDescent="0.25">
      <c r="A87" s="27"/>
      <c r="B87" s="178"/>
      <c r="C87" s="183"/>
      <c r="D87" s="192"/>
      <c r="E87" s="192"/>
      <c r="F87" s="192"/>
      <c r="G87" s="191"/>
      <c r="H87" s="236"/>
      <c r="I87" s="207"/>
      <c r="J87" s="175"/>
    </row>
    <row r="88" spans="1:10" s="176" customFormat="1" ht="24" customHeight="1" x14ac:dyDescent="0.25">
      <c r="A88" s="29" t="s">
        <v>73</v>
      </c>
      <c r="B88" s="22" t="s">
        <v>307</v>
      </c>
      <c r="C88" s="185" t="s">
        <v>82</v>
      </c>
      <c r="D88" s="196">
        <f>D89</f>
        <v>25440000</v>
      </c>
      <c r="E88" s="196">
        <f t="shared" ref="E88:F88" si="36">E89</f>
        <v>6700000</v>
      </c>
      <c r="F88" s="196">
        <f t="shared" si="36"/>
        <v>2300000</v>
      </c>
      <c r="G88" s="196">
        <f t="shared" ref="G88" si="37">G89</f>
        <v>9000000</v>
      </c>
      <c r="H88" s="236">
        <f>G88/D88</f>
        <v>0.35377358490566035</v>
      </c>
      <c r="I88" s="209"/>
      <c r="J88" s="175"/>
    </row>
    <row r="89" spans="1:10" s="187" customFormat="1" x14ac:dyDescent="0.25">
      <c r="A89" s="169"/>
      <c r="B89" s="170" t="s">
        <v>285</v>
      </c>
      <c r="C89" s="185" t="s">
        <v>444</v>
      </c>
      <c r="D89" s="191">
        <f>D91</f>
        <v>25440000</v>
      </c>
      <c r="E89" s="191">
        <f t="shared" ref="E89:F89" si="38">E91</f>
        <v>6700000</v>
      </c>
      <c r="F89" s="191">
        <f t="shared" si="38"/>
        <v>2300000</v>
      </c>
      <c r="G89" s="191">
        <f>G91</f>
        <v>9000000</v>
      </c>
      <c r="H89" s="236">
        <f>G89/D89</f>
        <v>0.35377358490566035</v>
      </c>
      <c r="I89" s="207" t="s">
        <v>83</v>
      </c>
      <c r="J89" s="186"/>
    </row>
    <row r="90" spans="1:10" s="187" customFormat="1" x14ac:dyDescent="0.25">
      <c r="A90" s="169"/>
      <c r="B90" s="170" t="s">
        <v>308</v>
      </c>
      <c r="C90" s="172" t="s">
        <v>309</v>
      </c>
      <c r="D90" s="191">
        <f>D91</f>
        <v>25440000</v>
      </c>
      <c r="E90" s="191">
        <f t="shared" ref="E90:F90" si="39">E91</f>
        <v>6700000</v>
      </c>
      <c r="F90" s="191">
        <f t="shared" si="39"/>
        <v>2300000</v>
      </c>
      <c r="G90" s="191">
        <f t="shared" ref="G90" si="40">G91</f>
        <v>9000000</v>
      </c>
      <c r="H90" s="236">
        <f>G90/D90</f>
        <v>0.35377358490566035</v>
      </c>
      <c r="I90" s="216"/>
      <c r="J90" s="186"/>
    </row>
    <row r="91" spans="1:10" s="176" customFormat="1" x14ac:dyDescent="0.25">
      <c r="A91" s="188"/>
      <c r="B91" s="178" t="s">
        <v>512</v>
      </c>
      <c r="C91" s="171" t="s">
        <v>309</v>
      </c>
      <c r="D91" s="192">
        <v>25440000</v>
      </c>
      <c r="E91" s="192">
        <f>'Realisasi April'!G89</f>
        <v>6700000</v>
      </c>
      <c r="F91" s="192">
        <v>2300000</v>
      </c>
      <c r="G91" s="192">
        <f>E91+F91</f>
        <v>9000000</v>
      </c>
      <c r="H91" s="24">
        <f>G91/D91</f>
        <v>0.35377358490566035</v>
      </c>
      <c r="I91" s="207"/>
      <c r="J91" s="175"/>
    </row>
    <row r="92" spans="1:10" s="176" customFormat="1" x14ac:dyDescent="0.25">
      <c r="A92" s="169"/>
      <c r="B92" s="22"/>
      <c r="C92" s="25"/>
      <c r="D92" s="192"/>
      <c r="E92" s="192"/>
      <c r="F92" s="192"/>
      <c r="G92" s="191"/>
      <c r="H92" s="236"/>
      <c r="I92" s="221"/>
      <c r="J92" s="175"/>
    </row>
    <row r="93" spans="1:10" s="176" customFormat="1" ht="24.75" customHeight="1" x14ac:dyDescent="0.25">
      <c r="A93" s="29" t="s">
        <v>74</v>
      </c>
      <c r="B93" s="22" t="s">
        <v>310</v>
      </c>
      <c r="C93" s="185" t="s">
        <v>682</v>
      </c>
      <c r="D93" s="196">
        <f>D94</f>
        <v>1000000000</v>
      </c>
      <c r="E93" s="196"/>
      <c r="F93" s="196">
        <f t="shared" ref="F93:G95" si="41">F94</f>
        <v>0</v>
      </c>
      <c r="G93" s="196">
        <f t="shared" si="41"/>
        <v>0</v>
      </c>
      <c r="H93" s="236">
        <f>G93/D93</f>
        <v>0</v>
      </c>
      <c r="I93" s="207"/>
      <c r="J93" s="175"/>
    </row>
    <row r="94" spans="1:10" s="187" customFormat="1" x14ac:dyDescent="0.25">
      <c r="A94" s="169"/>
      <c r="B94" s="170" t="s">
        <v>288</v>
      </c>
      <c r="C94" s="185" t="s">
        <v>55</v>
      </c>
      <c r="D94" s="191">
        <f>D95</f>
        <v>1000000000</v>
      </c>
      <c r="E94" s="191"/>
      <c r="F94" s="191">
        <f t="shared" si="41"/>
        <v>0</v>
      </c>
      <c r="G94" s="191">
        <f t="shared" si="41"/>
        <v>0</v>
      </c>
      <c r="H94" s="236">
        <f>G94/D94</f>
        <v>0</v>
      </c>
      <c r="I94" s="216" t="s">
        <v>85</v>
      </c>
      <c r="J94" s="186"/>
    </row>
    <row r="95" spans="1:10" s="187" customFormat="1" x14ac:dyDescent="0.25">
      <c r="A95" s="169"/>
      <c r="B95" s="170" t="s">
        <v>311</v>
      </c>
      <c r="C95" s="185" t="s">
        <v>312</v>
      </c>
      <c r="D95" s="191">
        <f>D96</f>
        <v>1000000000</v>
      </c>
      <c r="E95" s="191"/>
      <c r="F95" s="191">
        <f t="shared" si="41"/>
        <v>0</v>
      </c>
      <c r="G95" s="191">
        <f t="shared" si="41"/>
        <v>0</v>
      </c>
      <c r="H95" s="236">
        <f>G95/D95</f>
        <v>0</v>
      </c>
      <c r="I95" s="216"/>
      <c r="J95" s="186"/>
    </row>
    <row r="96" spans="1:10" s="176" customFormat="1" x14ac:dyDescent="0.25">
      <c r="A96" s="188"/>
      <c r="B96" s="178" t="s">
        <v>513</v>
      </c>
      <c r="C96" s="183" t="s">
        <v>312</v>
      </c>
      <c r="D96" s="192">
        <v>1000000000</v>
      </c>
      <c r="E96" s="192">
        <f>'Realisasi April'!G94</f>
        <v>0</v>
      </c>
      <c r="F96" s="192"/>
      <c r="G96" s="192">
        <f>E96+F96</f>
        <v>0</v>
      </c>
      <c r="H96" s="24">
        <f>G96/D96</f>
        <v>0</v>
      </c>
      <c r="I96" s="207"/>
      <c r="J96" s="175"/>
    </row>
    <row r="97" spans="1:11" s="176" customFormat="1" x14ac:dyDescent="0.25">
      <c r="A97" s="188"/>
      <c r="B97" s="178"/>
      <c r="C97" s="183"/>
      <c r="D97" s="192"/>
      <c r="E97" s="192"/>
      <c r="F97" s="192"/>
      <c r="G97" s="191"/>
      <c r="H97" s="236"/>
      <c r="I97" s="207"/>
      <c r="J97" s="175"/>
    </row>
    <row r="98" spans="1:11" s="176" customFormat="1" ht="41.25" customHeight="1" x14ac:dyDescent="0.25">
      <c r="A98" s="168" t="s">
        <v>86</v>
      </c>
      <c r="B98" s="189" t="s">
        <v>313</v>
      </c>
      <c r="C98" s="30" t="s">
        <v>87</v>
      </c>
      <c r="D98" s="196">
        <f>SUM(D99)</f>
        <v>1663748323.6700001</v>
      </c>
      <c r="E98" s="196">
        <f t="shared" ref="E98:F98" si="42">SUM(E99)</f>
        <v>1079761191</v>
      </c>
      <c r="F98" s="196">
        <f t="shared" si="42"/>
        <v>0</v>
      </c>
      <c r="G98" s="196">
        <f t="shared" ref="G98" si="43">SUM(G99)</f>
        <v>1079761191</v>
      </c>
      <c r="H98" s="236">
        <f>G98/D98</f>
        <v>0.64899310529022514</v>
      </c>
      <c r="I98" s="209"/>
      <c r="J98" s="175"/>
    </row>
    <row r="99" spans="1:11" s="176" customFormat="1" ht="30" x14ac:dyDescent="0.25">
      <c r="A99" s="188"/>
      <c r="B99" s="189" t="s">
        <v>314</v>
      </c>
      <c r="C99" s="30" t="s">
        <v>88</v>
      </c>
      <c r="D99" s="191">
        <f>SUM(D100:D102)</f>
        <v>1663748323.6700001</v>
      </c>
      <c r="E99" s="191">
        <f t="shared" ref="E99:F99" si="44">SUM(E100:E102)</f>
        <v>1079761191</v>
      </c>
      <c r="F99" s="191">
        <f t="shared" si="44"/>
        <v>0</v>
      </c>
      <c r="G99" s="191">
        <f t="shared" ref="G99" si="45">SUM(G100:G102)</f>
        <v>1079761191</v>
      </c>
      <c r="H99" s="236">
        <f>G99/D99</f>
        <v>0.64899310529022514</v>
      </c>
      <c r="I99" s="209"/>
      <c r="J99" s="175"/>
    </row>
    <row r="100" spans="1:11" s="176" customFormat="1" x14ac:dyDescent="0.25">
      <c r="A100" s="184" t="s">
        <v>89</v>
      </c>
      <c r="B100" s="190" t="s">
        <v>314</v>
      </c>
      <c r="C100" s="183" t="s">
        <v>90</v>
      </c>
      <c r="D100" s="192">
        <v>895097347.66999996</v>
      </c>
      <c r="E100" s="192">
        <f>'Realisasi April'!G98</f>
        <v>1079761191</v>
      </c>
      <c r="F100" s="192"/>
      <c r="G100" s="192">
        <f>E100+F100</f>
        <v>1079761191</v>
      </c>
      <c r="H100" s="24">
        <f>G100/D100</f>
        <v>1.2063058770207427</v>
      </c>
      <c r="I100" s="207"/>
      <c r="J100" s="175"/>
    </row>
    <row r="101" spans="1:11" s="176" customFormat="1" x14ac:dyDescent="0.25">
      <c r="A101" s="184" t="s">
        <v>91</v>
      </c>
      <c r="B101" s="190" t="s">
        <v>314</v>
      </c>
      <c r="C101" s="183" t="s">
        <v>92</v>
      </c>
      <c r="D101" s="192">
        <v>455948308</v>
      </c>
      <c r="E101" s="192">
        <f>'Realisasi April'!G99</f>
        <v>0</v>
      </c>
      <c r="F101" s="192"/>
      <c r="G101" s="192">
        <f t="shared" ref="G101:G102" si="46">E101+F101</f>
        <v>0</v>
      </c>
      <c r="H101" s="24">
        <f>G101/D101</f>
        <v>0</v>
      </c>
      <c r="I101" s="207" t="s">
        <v>93</v>
      </c>
      <c r="J101" s="175"/>
    </row>
    <row r="102" spans="1:11" s="176" customFormat="1" x14ac:dyDescent="0.25">
      <c r="A102" s="184" t="s">
        <v>72</v>
      </c>
      <c r="B102" s="190" t="s">
        <v>314</v>
      </c>
      <c r="C102" s="183" t="s">
        <v>94</v>
      </c>
      <c r="D102" s="192">
        <v>312702668</v>
      </c>
      <c r="E102" s="192">
        <f>'Realisasi April'!G100</f>
        <v>0</v>
      </c>
      <c r="F102" s="192"/>
      <c r="G102" s="192">
        <f t="shared" si="46"/>
        <v>0</v>
      </c>
      <c r="H102" s="24">
        <f>G102/D102</f>
        <v>0</v>
      </c>
      <c r="I102" s="207"/>
      <c r="J102" s="175"/>
    </row>
    <row r="103" spans="1:11" s="176" customFormat="1" x14ac:dyDescent="0.25">
      <c r="A103" s="188"/>
      <c r="B103" s="178"/>
      <c r="C103" s="183"/>
      <c r="D103" s="192"/>
      <c r="E103" s="192"/>
      <c r="F103" s="192"/>
      <c r="G103" s="191"/>
      <c r="H103" s="236"/>
      <c r="I103" s="207"/>
      <c r="J103" s="175"/>
    </row>
    <row r="104" spans="1:11" s="176" customFormat="1" ht="21" customHeight="1" x14ac:dyDescent="0.25">
      <c r="A104" s="169" t="s">
        <v>95</v>
      </c>
      <c r="B104" s="189" t="s">
        <v>315</v>
      </c>
      <c r="C104" s="185" t="s">
        <v>96</v>
      </c>
      <c r="D104" s="191">
        <f>SUM(D106+D117+D121+D125+D138+D140+D153+D155+D162+D202+D216+D222+D111+D114+D134)</f>
        <v>146329185066</v>
      </c>
      <c r="E104" s="191">
        <f>SUM(E106+E117+E121+E125+E138+E140+E153+E155+E162+E202+E216+E222+E111+E114+E134)</f>
        <v>88453816499.450012</v>
      </c>
      <c r="F104" s="191">
        <f>SUM(F106+F117+F121+F125+F138+F140+F153+F155+F162+F202+F216+F222+F111+F114+F134)</f>
        <v>10401767505.74</v>
      </c>
      <c r="G104" s="191">
        <f>SUM(G106+G117+G121+G125+G138+G140+G153+G155+G162+G202+G216+G222+G111+G114+G134)</f>
        <v>98855584005.190002</v>
      </c>
      <c r="H104" s="236">
        <f>G104/D104</f>
        <v>0.67556983906253831</v>
      </c>
      <c r="I104" s="209"/>
      <c r="J104" s="175"/>
      <c r="K104" s="270"/>
    </row>
    <row r="105" spans="1:11" s="176" customFormat="1" x14ac:dyDescent="0.25">
      <c r="A105" s="169"/>
      <c r="B105" s="31"/>
      <c r="C105" s="32"/>
      <c r="D105" s="192"/>
      <c r="E105" s="192"/>
      <c r="F105" s="192"/>
      <c r="G105" s="191"/>
      <c r="H105" s="236"/>
      <c r="I105" s="209"/>
      <c r="J105" s="175"/>
    </row>
    <row r="106" spans="1:11" s="176" customFormat="1" x14ac:dyDescent="0.25">
      <c r="A106" s="168" t="s">
        <v>19</v>
      </c>
      <c r="B106" s="189" t="s">
        <v>587</v>
      </c>
      <c r="C106" s="180" t="s">
        <v>589</v>
      </c>
      <c r="D106" s="191">
        <f>D108</f>
        <v>3029424600</v>
      </c>
      <c r="E106" s="191"/>
      <c r="F106" s="191">
        <f t="shared" ref="F106:G106" si="47">F108</f>
        <v>0</v>
      </c>
      <c r="G106" s="191">
        <f t="shared" si="47"/>
        <v>0</v>
      </c>
      <c r="H106" s="236">
        <f>G106/D106</f>
        <v>0</v>
      </c>
      <c r="I106" s="209"/>
      <c r="J106" s="175"/>
    </row>
    <row r="107" spans="1:11" s="176" customFormat="1" x14ac:dyDescent="0.25">
      <c r="A107" s="168"/>
      <c r="B107" s="189" t="s">
        <v>588</v>
      </c>
      <c r="C107" s="180" t="s">
        <v>589</v>
      </c>
      <c r="D107" s="191"/>
      <c r="E107" s="191"/>
      <c r="F107" s="192"/>
      <c r="G107" s="191"/>
      <c r="H107" s="236"/>
      <c r="I107" s="209"/>
      <c r="J107" s="175"/>
    </row>
    <row r="108" spans="1:11" s="176" customFormat="1" x14ac:dyDescent="0.25">
      <c r="A108" s="168"/>
      <c r="B108" s="189" t="s">
        <v>584</v>
      </c>
      <c r="C108" s="180" t="s">
        <v>585</v>
      </c>
      <c r="D108" s="191">
        <f>D109</f>
        <v>3029424600</v>
      </c>
      <c r="E108" s="191"/>
      <c r="F108" s="191">
        <f t="shared" ref="F108:G108" si="48">F109</f>
        <v>0</v>
      </c>
      <c r="G108" s="191">
        <f t="shared" si="48"/>
        <v>0</v>
      </c>
      <c r="H108" s="236">
        <f>G108/D108</f>
        <v>0</v>
      </c>
      <c r="I108" s="209"/>
      <c r="J108" s="175"/>
    </row>
    <row r="109" spans="1:11" s="176" customFormat="1" x14ac:dyDescent="0.25">
      <c r="A109" s="168"/>
      <c r="B109" s="190"/>
      <c r="C109" s="33" t="s">
        <v>586</v>
      </c>
      <c r="D109" s="192">
        <v>3029424600</v>
      </c>
      <c r="E109" s="192">
        <f>'Realisasi April'!G107</f>
        <v>0</v>
      </c>
      <c r="F109" s="192"/>
      <c r="G109" s="192">
        <f>E109+F109</f>
        <v>0</v>
      </c>
      <c r="H109" s="24">
        <f>G109/D109</f>
        <v>0</v>
      </c>
      <c r="I109" s="209"/>
      <c r="J109" s="175"/>
    </row>
    <row r="110" spans="1:11" s="176" customFormat="1" x14ac:dyDescent="0.25">
      <c r="A110" s="169"/>
      <c r="B110" s="31"/>
      <c r="C110" s="32"/>
      <c r="D110" s="192"/>
      <c r="E110" s="192"/>
      <c r="F110" s="192"/>
      <c r="G110" s="191"/>
      <c r="H110" s="236"/>
      <c r="I110" s="209"/>
      <c r="J110" s="175"/>
    </row>
    <row r="111" spans="1:11" s="176" customFormat="1" x14ac:dyDescent="0.25">
      <c r="A111" s="168"/>
      <c r="B111" s="190" t="s">
        <v>590</v>
      </c>
      <c r="C111" s="172" t="s">
        <v>581</v>
      </c>
      <c r="D111" s="191">
        <f>SUM(D112)</f>
        <v>0</v>
      </c>
      <c r="E111" s="191"/>
      <c r="F111" s="191">
        <f t="shared" ref="F111:G111" si="49">SUM(F112)</f>
        <v>0</v>
      </c>
      <c r="G111" s="191">
        <f t="shared" si="49"/>
        <v>0</v>
      </c>
      <c r="H111" s="236"/>
      <c r="I111" s="207"/>
      <c r="J111" s="175"/>
    </row>
    <row r="112" spans="1:11" s="176" customFormat="1" x14ac:dyDescent="0.25">
      <c r="A112" s="168"/>
      <c r="B112" s="189"/>
      <c r="C112" s="193" t="s">
        <v>622</v>
      </c>
      <c r="D112" s="192">
        <v>0</v>
      </c>
      <c r="E112" s="192">
        <f>'Realisasi April'!G110</f>
        <v>0</v>
      </c>
      <c r="F112" s="192">
        <v>0</v>
      </c>
      <c r="G112" s="192">
        <f>E112+F112</f>
        <v>0</v>
      </c>
      <c r="H112" s="236"/>
      <c r="I112" s="207"/>
      <c r="J112" s="175"/>
    </row>
    <row r="113" spans="1:11" s="176" customFormat="1" x14ac:dyDescent="0.25">
      <c r="A113" s="168"/>
      <c r="B113" s="189"/>
      <c r="C113" s="193"/>
      <c r="D113" s="192"/>
      <c r="E113" s="192"/>
      <c r="F113" s="192"/>
      <c r="G113" s="192"/>
      <c r="H113" s="236"/>
      <c r="I113" s="207"/>
      <c r="J113" s="175"/>
    </row>
    <row r="114" spans="1:11" s="176" customFormat="1" x14ac:dyDescent="0.25">
      <c r="A114" s="169"/>
      <c r="B114" s="190" t="s">
        <v>318</v>
      </c>
      <c r="C114" s="172" t="s">
        <v>319</v>
      </c>
      <c r="D114" s="191">
        <f>SUM(D115:D115)</f>
        <v>186000000</v>
      </c>
      <c r="E114" s="191">
        <f>SUM(E115:E115)</f>
        <v>631197335</v>
      </c>
      <c r="F114" s="191">
        <f>SUM(F115:F115)</f>
        <v>0</v>
      </c>
      <c r="G114" s="191">
        <f>SUM(G115:G115)</f>
        <v>631197335</v>
      </c>
      <c r="H114" s="236">
        <f>G114/D114</f>
        <v>3.3935340591397849</v>
      </c>
      <c r="I114" s="209"/>
      <c r="J114" s="175"/>
    </row>
    <row r="115" spans="1:11" s="176" customFormat="1" x14ac:dyDescent="0.25">
      <c r="A115" s="169"/>
      <c r="B115" s="190"/>
      <c r="C115" s="193" t="s">
        <v>670</v>
      </c>
      <c r="D115" s="192">
        <v>186000000</v>
      </c>
      <c r="E115" s="192">
        <f>'Realisasi April'!G113</f>
        <v>631197335</v>
      </c>
      <c r="F115" s="192">
        <v>0</v>
      </c>
      <c r="G115" s="192">
        <f t="shared" ref="G115" si="50">E115+F115</f>
        <v>631197335</v>
      </c>
      <c r="H115" s="24">
        <f t="shared" ref="H115" si="51">G115/D115</f>
        <v>3.3935340591397849</v>
      </c>
      <c r="I115" s="209"/>
      <c r="J115" s="175"/>
    </row>
    <row r="116" spans="1:11" s="176" customFormat="1" x14ac:dyDescent="0.25">
      <c r="A116" s="169"/>
      <c r="B116" s="190"/>
      <c r="C116" s="193"/>
      <c r="D116" s="192"/>
      <c r="E116" s="192"/>
      <c r="F116" s="192"/>
      <c r="G116" s="191"/>
      <c r="H116" s="236"/>
      <c r="I116" s="209"/>
      <c r="J116" s="175"/>
    </row>
    <row r="117" spans="1:11" s="176" customFormat="1" x14ac:dyDescent="0.25">
      <c r="A117" s="168" t="s">
        <v>46</v>
      </c>
      <c r="B117" s="189" t="s">
        <v>342</v>
      </c>
      <c r="C117" s="185" t="s">
        <v>343</v>
      </c>
      <c r="D117" s="191">
        <f>D118</f>
        <v>1000000000</v>
      </c>
      <c r="E117" s="191"/>
      <c r="F117" s="191">
        <f t="shared" ref="F117:G118" si="52">F118</f>
        <v>0</v>
      </c>
      <c r="G117" s="191">
        <f t="shared" si="52"/>
        <v>0</v>
      </c>
      <c r="H117" s="236">
        <f>G117/D117</f>
        <v>0</v>
      </c>
      <c r="I117" s="209"/>
      <c r="J117" s="175"/>
    </row>
    <row r="118" spans="1:11" s="187" customFormat="1" x14ac:dyDescent="0.25">
      <c r="A118" s="169"/>
      <c r="B118" s="189" t="s">
        <v>344</v>
      </c>
      <c r="C118" s="185" t="s">
        <v>349</v>
      </c>
      <c r="D118" s="191">
        <f>D119</f>
        <v>1000000000</v>
      </c>
      <c r="E118" s="191"/>
      <c r="F118" s="191">
        <f t="shared" si="52"/>
        <v>0</v>
      </c>
      <c r="G118" s="191">
        <f t="shared" si="52"/>
        <v>0</v>
      </c>
      <c r="H118" s="236">
        <f>G118/D118</f>
        <v>0</v>
      </c>
      <c r="I118" s="210"/>
      <c r="J118" s="186"/>
    </row>
    <row r="119" spans="1:11" s="176" customFormat="1" x14ac:dyDescent="0.25">
      <c r="A119" s="169"/>
      <c r="B119" s="190"/>
      <c r="C119" s="171" t="s">
        <v>162</v>
      </c>
      <c r="D119" s="192">
        <v>1000000000</v>
      </c>
      <c r="E119" s="192">
        <f>'Realisasi April'!G117</f>
        <v>0</v>
      </c>
      <c r="F119" s="192"/>
      <c r="G119" s="192">
        <f>E119+F119</f>
        <v>0</v>
      </c>
      <c r="H119" s="24">
        <f>G119/D119</f>
        <v>0</v>
      </c>
      <c r="I119" s="209"/>
      <c r="J119" s="175"/>
    </row>
    <row r="120" spans="1:11" s="176" customFormat="1" x14ac:dyDescent="0.25">
      <c r="A120" s="169"/>
      <c r="B120" s="190"/>
      <c r="C120" s="193"/>
      <c r="D120" s="192"/>
      <c r="E120" s="192"/>
      <c r="F120" s="192"/>
      <c r="G120" s="191"/>
      <c r="H120" s="236"/>
      <c r="I120" s="209"/>
      <c r="J120" s="175"/>
    </row>
    <row r="121" spans="1:11" s="176" customFormat="1" x14ac:dyDescent="0.25">
      <c r="A121" s="168" t="s">
        <v>8</v>
      </c>
      <c r="B121" s="189" t="s">
        <v>320</v>
      </c>
      <c r="C121" s="185" t="s">
        <v>97</v>
      </c>
      <c r="D121" s="196">
        <f>SUM(D122:D123)</f>
        <v>2750000000</v>
      </c>
      <c r="E121" s="196">
        <f t="shared" ref="E121:G121" si="53">SUM(E122:E123)</f>
        <v>1012581549.3099999</v>
      </c>
      <c r="F121" s="196">
        <f t="shared" si="53"/>
        <v>213763758.75</v>
      </c>
      <c r="G121" s="196">
        <f t="shared" si="53"/>
        <v>1226345308.0599999</v>
      </c>
      <c r="H121" s="236">
        <f>G121/D121</f>
        <v>0.44594374838545453</v>
      </c>
      <c r="I121" s="207"/>
      <c r="J121" s="175"/>
    </row>
    <row r="122" spans="1:11" s="176" customFormat="1" x14ac:dyDescent="0.25">
      <c r="A122" s="188"/>
      <c r="B122" s="190" t="s">
        <v>514</v>
      </c>
      <c r="C122" s="183" t="s">
        <v>515</v>
      </c>
      <c r="D122" s="192">
        <v>2500000000</v>
      </c>
      <c r="E122" s="192">
        <f>'Realisasi April'!G120</f>
        <v>986937015.30999994</v>
      </c>
      <c r="F122" s="192">
        <v>209701878.75</v>
      </c>
      <c r="G122" s="192">
        <f>E122+F122</f>
        <v>1196638894.0599999</v>
      </c>
      <c r="H122" s="24">
        <f>G122/D122</f>
        <v>0.47865555762399997</v>
      </c>
      <c r="I122" s="207"/>
      <c r="J122" s="175"/>
    </row>
    <row r="123" spans="1:11" s="176" customFormat="1" x14ac:dyDescent="0.25">
      <c r="A123" s="188"/>
      <c r="B123" s="190" t="s">
        <v>517</v>
      </c>
      <c r="C123" s="183" t="s">
        <v>516</v>
      </c>
      <c r="D123" s="192">
        <v>250000000</v>
      </c>
      <c r="E123" s="192">
        <f>'Realisasi April'!G121</f>
        <v>25644534</v>
      </c>
      <c r="F123" s="192">
        <v>4061880</v>
      </c>
      <c r="G123" s="192">
        <f>E123+F123</f>
        <v>29706414</v>
      </c>
      <c r="H123" s="24">
        <f>G123/D123</f>
        <v>0.118825656</v>
      </c>
      <c r="I123" s="207"/>
      <c r="J123" s="175"/>
    </row>
    <row r="124" spans="1:11" s="176" customFormat="1" x14ac:dyDescent="0.25">
      <c r="A124" s="188"/>
      <c r="B124" s="178"/>
      <c r="C124" s="183"/>
      <c r="D124" s="192"/>
      <c r="E124" s="192"/>
      <c r="F124" s="192"/>
      <c r="G124" s="191"/>
      <c r="H124" s="236"/>
      <c r="I124" s="207"/>
      <c r="J124" s="175"/>
    </row>
    <row r="125" spans="1:11" s="176" customFormat="1" x14ac:dyDescent="0.25">
      <c r="A125" s="168" t="s">
        <v>49</v>
      </c>
      <c r="B125" s="189" t="s">
        <v>321</v>
      </c>
      <c r="C125" s="180" t="s">
        <v>98</v>
      </c>
      <c r="D125" s="196">
        <f>D126</f>
        <v>2600000000</v>
      </c>
      <c r="E125" s="196">
        <f t="shared" ref="E125:G126" si="54">E126</f>
        <v>135515509.43000001</v>
      </c>
      <c r="F125" s="196">
        <f t="shared" si="54"/>
        <v>80038412.74000001</v>
      </c>
      <c r="G125" s="196">
        <f t="shared" si="54"/>
        <v>215553922.17000002</v>
      </c>
      <c r="H125" s="236">
        <f t="shared" ref="H125:H131" si="55">G125/D125</f>
        <v>8.2905354680769233E-2</v>
      </c>
      <c r="I125" s="207"/>
      <c r="J125" s="175"/>
      <c r="K125" s="270"/>
    </row>
    <row r="126" spans="1:11" s="176" customFormat="1" x14ac:dyDescent="0.25">
      <c r="A126" s="168"/>
      <c r="B126" s="189" t="s">
        <v>322</v>
      </c>
      <c r="C126" s="180" t="s">
        <v>323</v>
      </c>
      <c r="D126" s="196">
        <f>D127</f>
        <v>2600000000</v>
      </c>
      <c r="E126" s="196">
        <f t="shared" si="54"/>
        <v>135515509.43000001</v>
      </c>
      <c r="F126" s="196">
        <f t="shared" si="54"/>
        <v>80038412.74000001</v>
      </c>
      <c r="G126" s="196">
        <f t="shared" si="54"/>
        <v>215553922.17000002</v>
      </c>
      <c r="H126" s="236">
        <f t="shared" si="55"/>
        <v>8.2905354680769233E-2</v>
      </c>
      <c r="I126" s="207"/>
      <c r="J126" s="175"/>
    </row>
    <row r="127" spans="1:11" s="176" customFormat="1" x14ac:dyDescent="0.25">
      <c r="A127" s="168"/>
      <c r="B127" s="189" t="s">
        <v>518</v>
      </c>
      <c r="C127" s="180" t="s">
        <v>323</v>
      </c>
      <c r="D127" s="196">
        <f>SUM(D128:D132)</f>
        <v>2600000000</v>
      </c>
      <c r="E127" s="196">
        <f>'Realisasi April'!G125</f>
        <v>135515509.43000001</v>
      </c>
      <c r="F127" s="196">
        <f>SUM(F128:F132)</f>
        <v>80038412.74000001</v>
      </c>
      <c r="G127" s="196">
        <f>E127+F127</f>
        <v>215553922.17000002</v>
      </c>
      <c r="H127" s="236">
        <f t="shared" si="55"/>
        <v>8.2905354680769233E-2</v>
      </c>
      <c r="I127" s="207"/>
      <c r="J127" s="175"/>
    </row>
    <row r="128" spans="1:11" s="176" customFormat="1" x14ac:dyDescent="0.25">
      <c r="A128" s="169"/>
      <c r="B128" s="177"/>
      <c r="C128" s="193" t="s">
        <v>324</v>
      </c>
      <c r="D128" s="181">
        <v>1200000000</v>
      </c>
      <c r="E128" s="181">
        <f>'Realisasi April'!G126</f>
        <v>52534190</v>
      </c>
      <c r="F128" s="181">
        <f>26712300</f>
        <v>26712300</v>
      </c>
      <c r="G128" s="192">
        <f>E128+F128</f>
        <v>79246490</v>
      </c>
      <c r="H128" s="24">
        <f t="shared" si="55"/>
        <v>6.6038741666666664E-2</v>
      </c>
      <c r="I128" s="207"/>
      <c r="J128" s="175"/>
    </row>
    <row r="129" spans="1:10" s="176" customFormat="1" x14ac:dyDescent="0.25">
      <c r="A129" s="169"/>
      <c r="B129" s="177"/>
      <c r="C129" s="193" t="s">
        <v>325</v>
      </c>
      <c r="D129" s="181">
        <v>600000000</v>
      </c>
      <c r="E129" s="181">
        <f>'Realisasi April'!G127</f>
        <v>22936395</v>
      </c>
      <c r="F129" s="181">
        <f>10997346.4</f>
        <v>10997346.4</v>
      </c>
      <c r="G129" s="192">
        <f t="shared" ref="G129:G132" si="56">E129+F129</f>
        <v>33933741.399999999</v>
      </c>
      <c r="H129" s="24">
        <f t="shared" si="55"/>
        <v>5.6556235666666663E-2</v>
      </c>
      <c r="I129" s="207"/>
      <c r="J129" s="175"/>
    </row>
    <row r="130" spans="1:10" s="176" customFormat="1" x14ac:dyDescent="0.25">
      <c r="A130" s="169"/>
      <c r="B130" s="178"/>
      <c r="C130" s="193" t="s">
        <v>578</v>
      </c>
      <c r="D130" s="181">
        <v>0</v>
      </c>
      <c r="E130" s="181">
        <f>'Realisasi April'!G128</f>
        <v>0</v>
      </c>
      <c r="F130" s="181">
        <v>9246575</v>
      </c>
      <c r="G130" s="192">
        <f t="shared" si="56"/>
        <v>9246575</v>
      </c>
      <c r="H130" s="24" t="e">
        <f t="shared" si="55"/>
        <v>#DIV/0!</v>
      </c>
      <c r="I130" s="207"/>
      <c r="J130" s="175"/>
    </row>
    <row r="131" spans="1:10" s="176" customFormat="1" x14ac:dyDescent="0.25">
      <c r="A131" s="169"/>
      <c r="B131" s="178"/>
      <c r="C131" s="193" t="s">
        <v>326</v>
      </c>
      <c r="D131" s="181">
        <v>800000000</v>
      </c>
      <c r="E131" s="181">
        <f>'Realisasi April'!G129</f>
        <v>41890400</v>
      </c>
      <c r="F131" s="181">
        <f>8219190+3698618+8219190+3698618</f>
        <v>23835616</v>
      </c>
      <c r="G131" s="192">
        <f t="shared" si="56"/>
        <v>65726016</v>
      </c>
      <c r="H131" s="24">
        <f t="shared" si="55"/>
        <v>8.2157519999999998E-2</v>
      </c>
      <c r="I131" s="207"/>
      <c r="J131" s="175"/>
    </row>
    <row r="132" spans="1:10" s="176" customFormat="1" x14ac:dyDescent="0.25">
      <c r="A132" s="169"/>
      <c r="B132" s="178"/>
      <c r="C132" s="193" t="s">
        <v>687</v>
      </c>
      <c r="D132" s="181"/>
      <c r="E132" s="181"/>
      <c r="F132" s="181">
        <v>9246575.3399999999</v>
      </c>
      <c r="G132" s="192">
        <f t="shared" si="56"/>
        <v>9246575.3399999999</v>
      </c>
      <c r="H132" s="24"/>
      <c r="I132" s="207"/>
      <c r="J132" s="175"/>
    </row>
    <row r="133" spans="1:10" s="176" customFormat="1" x14ac:dyDescent="0.25">
      <c r="A133" s="169"/>
      <c r="B133" s="170"/>
      <c r="C133" s="185"/>
      <c r="D133" s="191"/>
      <c r="E133" s="191"/>
      <c r="F133" s="191"/>
      <c r="G133" s="192"/>
      <c r="H133" s="24"/>
      <c r="I133" s="207"/>
      <c r="J133" s="175"/>
    </row>
    <row r="134" spans="1:10" s="176" customFormat="1" x14ac:dyDescent="0.25">
      <c r="A134" s="168" t="s">
        <v>53</v>
      </c>
      <c r="B134" s="189" t="s">
        <v>623</v>
      </c>
      <c r="C134" s="180" t="s">
        <v>626</v>
      </c>
      <c r="D134" s="196">
        <f>D135</f>
        <v>0</v>
      </c>
      <c r="E134" s="196">
        <f t="shared" ref="E134:F134" si="57">E135</f>
        <v>141405711.05000001</v>
      </c>
      <c r="F134" s="196">
        <f t="shared" si="57"/>
        <v>854610807.52999997</v>
      </c>
      <c r="G134" s="196">
        <f t="shared" ref="F134:G135" si="58">G135</f>
        <v>996016518.57999992</v>
      </c>
      <c r="H134" s="236" t="e">
        <f>G134/D134</f>
        <v>#DIV/0!</v>
      </c>
      <c r="I134" s="207"/>
      <c r="J134" s="175"/>
    </row>
    <row r="135" spans="1:10" s="176" customFormat="1" x14ac:dyDescent="0.25">
      <c r="A135" s="169"/>
      <c r="B135" s="189" t="s">
        <v>624</v>
      </c>
      <c r="C135" s="180" t="s">
        <v>626</v>
      </c>
      <c r="D135" s="196">
        <f>D136</f>
        <v>0</v>
      </c>
      <c r="E135" s="196">
        <f t="shared" ref="E135" si="59">E136</f>
        <v>141405711.05000001</v>
      </c>
      <c r="F135" s="196">
        <f t="shared" si="58"/>
        <v>854610807.52999997</v>
      </c>
      <c r="G135" s="196">
        <f t="shared" si="58"/>
        <v>996016518.57999992</v>
      </c>
      <c r="H135" s="236" t="e">
        <f>G135/D135</f>
        <v>#DIV/0!</v>
      </c>
      <c r="I135" s="207"/>
      <c r="J135" s="175"/>
    </row>
    <row r="136" spans="1:10" s="176" customFormat="1" x14ac:dyDescent="0.25">
      <c r="A136" s="188"/>
      <c r="B136" s="190" t="s">
        <v>625</v>
      </c>
      <c r="C136" s="33" t="s">
        <v>626</v>
      </c>
      <c r="D136" s="181">
        <v>0</v>
      </c>
      <c r="E136" s="181">
        <f>'Realisasi April'!G133</f>
        <v>141405711.05000001</v>
      </c>
      <c r="F136" s="181">
        <v>854610807.52999997</v>
      </c>
      <c r="G136" s="181">
        <f>E136+F136</f>
        <v>996016518.57999992</v>
      </c>
      <c r="H136" s="24" t="e">
        <f>G136/D136</f>
        <v>#DIV/0!</v>
      </c>
      <c r="I136" s="207"/>
      <c r="J136" s="175"/>
    </row>
    <row r="137" spans="1:10" s="176" customFormat="1" x14ac:dyDescent="0.25">
      <c r="A137" s="169"/>
      <c r="B137" s="177"/>
      <c r="C137" s="193"/>
      <c r="D137" s="181"/>
      <c r="E137" s="181"/>
      <c r="F137" s="181"/>
      <c r="G137" s="192"/>
      <c r="H137" s="24"/>
      <c r="I137" s="207"/>
      <c r="J137" s="175"/>
    </row>
    <row r="138" spans="1:10" s="176" customFormat="1" x14ac:dyDescent="0.25">
      <c r="A138" s="168" t="s">
        <v>62</v>
      </c>
      <c r="B138" s="179" t="s">
        <v>99</v>
      </c>
      <c r="C138" s="180" t="s">
        <v>100</v>
      </c>
      <c r="D138" s="191">
        <v>0</v>
      </c>
      <c r="E138" s="191">
        <f>'Realisasi April'!G135</f>
        <v>0</v>
      </c>
      <c r="F138" s="191">
        <v>0</v>
      </c>
      <c r="G138" s="191">
        <f>E138+F138</f>
        <v>0</v>
      </c>
      <c r="H138" s="236"/>
      <c r="I138" s="207"/>
      <c r="J138" s="175"/>
    </row>
    <row r="139" spans="1:10" s="176" customFormat="1" x14ac:dyDescent="0.25">
      <c r="A139" s="169"/>
      <c r="B139" s="170"/>
      <c r="C139" s="185"/>
      <c r="D139" s="191"/>
      <c r="E139" s="191"/>
      <c r="F139" s="191"/>
      <c r="G139" s="191"/>
      <c r="H139" s="236"/>
      <c r="I139" s="207"/>
      <c r="J139" s="175"/>
    </row>
    <row r="140" spans="1:10" s="176" customFormat="1" x14ac:dyDescent="0.25">
      <c r="A140" s="168" t="s">
        <v>66</v>
      </c>
      <c r="B140" s="189" t="s">
        <v>328</v>
      </c>
      <c r="C140" s="180" t="s">
        <v>101</v>
      </c>
      <c r="D140" s="191">
        <f>SUM(D141:D151)</f>
        <v>0</v>
      </c>
      <c r="E140" s="191">
        <f t="shared" ref="E140:G140" si="60">SUM(E141:E151)</f>
        <v>1168740769</v>
      </c>
      <c r="F140" s="191">
        <f t="shared" si="60"/>
        <v>9652228</v>
      </c>
      <c r="G140" s="191">
        <f t="shared" si="60"/>
        <v>1178392997</v>
      </c>
      <c r="H140" s="236" t="e">
        <f t="shared" ref="H140:H148" si="61">G140/D140</f>
        <v>#DIV/0!</v>
      </c>
      <c r="I140" s="207"/>
      <c r="J140" s="175"/>
    </row>
    <row r="141" spans="1:10" s="176" customFormat="1" x14ac:dyDescent="0.25">
      <c r="A141" s="188"/>
      <c r="B141" s="190" t="s">
        <v>329</v>
      </c>
      <c r="C141" s="33" t="s">
        <v>102</v>
      </c>
      <c r="D141" s="192"/>
      <c r="E141" s="192">
        <f>'Realisasi April'!G138</f>
        <v>11708678</v>
      </c>
      <c r="F141" s="192">
        <v>1281244</v>
      </c>
      <c r="G141" s="192">
        <f>E141+F141</f>
        <v>12989922</v>
      </c>
      <c r="H141" s="24" t="e">
        <f t="shared" si="61"/>
        <v>#DIV/0!</v>
      </c>
      <c r="I141" s="207"/>
      <c r="J141" s="175"/>
    </row>
    <row r="142" spans="1:10" s="176" customFormat="1" x14ac:dyDescent="0.25">
      <c r="A142" s="188"/>
      <c r="B142" s="190" t="s">
        <v>330</v>
      </c>
      <c r="C142" s="33" t="s">
        <v>103</v>
      </c>
      <c r="D142" s="192"/>
      <c r="E142" s="192">
        <f>'Realisasi April'!G139</f>
        <v>12500663</v>
      </c>
      <c r="F142" s="192">
        <v>7538375</v>
      </c>
      <c r="G142" s="192">
        <f t="shared" ref="G142:G150" si="62">E142+F142</f>
        <v>20039038</v>
      </c>
      <c r="H142" s="24" t="e">
        <f t="shared" si="61"/>
        <v>#DIV/0!</v>
      </c>
      <c r="I142" s="207"/>
      <c r="J142" s="175"/>
    </row>
    <row r="143" spans="1:10" s="176" customFormat="1" x14ac:dyDescent="0.25">
      <c r="A143" s="188"/>
      <c r="B143" s="190" t="s">
        <v>331</v>
      </c>
      <c r="C143" s="33" t="s">
        <v>104</v>
      </c>
      <c r="D143" s="192"/>
      <c r="E143" s="192">
        <f>'Realisasi April'!G140</f>
        <v>8090261</v>
      </c>
      <c r="F143" s="192">
        <v>131839</v>
      </c>
      <c r="G143" s="192">
        <f t="shared" si="62"/>
        <v>8222100</v>
      </c>
      <c r="H143" s="24" t="e">
        <f t="shared" si="61"/>
        <v>#DIV/0!</v>
      </c>
      <c r="I143" s="207"/>
      <c r="J143" s="175"/>
    </row>
    <row r="144" spans="1:10" s="176" customFormat="1" x14ac:dyDescent="0.25">
      <c r="A144" s="188"/>
      <c r="B144" s="190" t="s">
        <v>332</v>
      </c>
      <c r="C144" s="33" t="s">
        <v>105</v>
      </c>
      <c r="D144" s="192"/>
      <c r="E144" s="192">
        <f>'Realisasi April'!G141</f>
        <v>739453</v>
      </c>
      <c r="F144" s="192">
        <v>397419</v>
      </c>
      <c r="G144" s="192">
        <f t="shared" si="62"/>
        <v>1136872</v>
      </c>
      <c r="H144" s="24" t="e">
        <f t="shared" si="61"/>
        <v>#DIV/0!</v>
      </c>
      <c r="I144" s="207"/>
      <c r="J144" s="175"/>
    </row>
    <row r="145" spans="1:10" s="176" customFormat="1" x14ac:dyDescent="0.25">
      <c r="A145" s="188"/>
      <c r="B145" s="190" t="s">
        <v>333</v>
      </c>
      <c r="C145" s="33" t="s">
        <v>106</v>
      </c>
      <c r="D145" s="192"/>
      <c r="E145" s="192">
        <f>'Realisasi April'!G142</f>
        <v>820780390</v>
      </c>
      <c r="F145" s="192">
        <v>0</v>
      </c>
      <c r="G145" s="192">
        <f t="shared" si="62"/>
        <v>820780390</v>
      </c>
      <c r="H145" s="24" t="e">
        <f t="shared" si="61"/>
        <v>#DIV/0!</v>
      </c>
      <c r="I145" s="207"/>
      <c r="J145" s="175"/>
    </row>
    <row r="146" spans="1:10" s="176" customFormat="1" x14ac:dyDescent="0.25">
      <c r="A146" s="188"/>
      <c r="B146" s="190" t="s">
        <v>334</v>
      </c>
      <c r="C146" s="33" t="s">
        <v>107</v>
      </c>
      <c r="D146" s="192"/>
      <c r="E146" s="192">
        <f>'Realisasi April'!G143</f>
        <v>2010846</v>
      </c>
      <c r="F146" s="192">
        <v>117327</v>
      </c>
      <c r="G146" s="192">
        <f t="shared" si="62"/>
        <v>2128173</v>
      </c>
      <c r="H146" s="24" t="e">
        <f t="shared" si="61"/>
        <v>#DIV/0!</v>
      </c>
      <c r="I146" s="207"/>
      <c r="J146" s="175"/>
    </row>
    <row r="147" spans="1:10" s="176" customFormat="1" x14ac:dyDescent="0.25">
      <c r="A147" s="188"/>
      <c r="B147" s="190" t="s">
        <v>335</v>
      </c>
      <c r="C147" s="33" t="s">
        <v>108</v>
      </c>
      <c r="D147" s="192"/>
      <c r="E147" s="192">
        <f>'Realisasi April'!G144</f>
        <v>11640543</v>
      </c>
      <c r="F147" s="192">
        <v>25024</v>
      </c>
      <c r="G147" s="192">
        <f t="shared" si="62"/>
        <v>11665567</v>
      </c>
      <c r="H147" s="24" t="e">
        <f t="shared" si="61"/>
        <v>#DIV/0!</v>
      </c>
      <c r="I147" s="207"/>
      <c r="J147" s="175"/>
    </row>
    <row r="148" spans="1:10" s="176" customFormat="1" x14ac:dyDescent="0.25">
      <c r="A148" s="188"/>
      <c r="B148" s="190" t="s">
        <v>336</v>
      </c>
      <c r="C148" s="33" t="s">
        <v>109</v>
      </c>
      <c r="D148" s="192"/>
      <c r="E148" s="192">
        <f>'Realisasi April'!G145</f>
        <v>840910</v>
      </c>
      <c r="F148" s="192">
        <v>161000</v>
      </c>
      <c r="G148" s="192">
        <f t="shared" si="62"/>
        <v>1001910</v>
      </c>
      <c r="H148" s="24" t="e">
        <f t="shared" si="61"/>
        <v>#DIV/0!</v>
      </c>
      <c r="I148" s="207"/>
      <c r="J148" s="175"/>
    </row>
    <row r="149" spans="1:10" s="176" customFormat="1" x14ac:dyDescent="0.25">
      <c r="A149" s="188"/>
      <c r="B149" s="190" t="s">
        <v>484</v>
      </c>
      <c r="C149" s="33" t="s">
        <v>482</v>
      </c>
      <c r="D149" s="192"/>
      <c r="E149" s="192">
        <f>'Realisasi April'!G146</f>
        <v>0</v>
      </c>
      <c r="F149" s="192"/>
      <c r="G149" s="192">
        <f t="shared" si="62"/>
        <v>0</v>
      </c>
      <c r="H149" s="24"/>
      <c r="I149" s="207"/>
      <c r="J149" s="175"/>
    </row>
    <row r="150" spans="1:10" s="176" customFormat="1" x14ac:dyDescent="0.25">
      <c r="A150" s="188"/>
      <c r="B150" s="190" t="s">
        <v>337</v>
      </c>
      <c r="C150" s="33" t="s">
        <v>110</v>
      </c>
      <c r="D150" s="192"/>
      <c r="E150" s="192">
        <f>'Realisasi April'!G147</f>
        <v>300429025</v>
      </c>
      <c r="F150" s="192"/>
      <c r="G150" s="192">
        <f t="shared" si="62"/>
        <v>300429025</v>
      </c>
      <c r="H150" s="24" t="e">
        <f>G150/D150</f>
        <v>#DIV/0!</v>
      </c>
      <c r="I150" s="207"/>
      <c r="J150" s="175"/>
    </row>
    <row r="151" spans="1:10" s="176" customFormat="1" x14ac:dyDescent="0.25">
      <c r="A151" s="188"/>
      <c r="B151" s="190" t="s">
        <v>485</v>
      </c>
      <c r="C151" s="33" t="s">
        <v>483</v>
      </c>
      <c r="D151" s="192">
        <v>0</v>
      </c>
      <c r="E151" s="192">
        <f>'Realisasi April'!G148</f>
        <v>0</v>
      </c>
      <c r="F151" s="192"/>
      <c r="G151" s="192">
        <f>F151-D151</f>
        <v>0</v>
      </c>
      <c r="H151" s="24" t="e">
        <f>G151/D151</f>
        <v>#DIV/0!</v>
      </c>
      <c r="I151" s="207"/>
      <c r="J151" s="175"/>
    </row>
    <row r="152" spans="1:10" s="176" customFormat="1" x14ac:dyDescent="0.25">
      <c r="A152" s="169"/>
      <c r="B152" s="170"/>
      <c r="C152" s="180"/>
      <c r="D152" s="191"/>
      <c r="E152" s="191"/>
      <c r="F152" s="191"/>
      <c r="G152" s="191"/>
      <c r="H152" s="24"/>
      <c r="I152" s="207"/>
      <c r="J152" s="175"/>
    </row>
    <row r="153" spans="1:10" s="176" customFormat="1" x14ac:dyDescent="0.25">
      <c r="A153" s="168" t="s">
        <v>73</v>
      </c>
      <c r="B153" s="189" t="s">
        <v>327</v>
      </c>
      <c r="C153" s="185" t="s">
        <v>111</v>
      </c>
      <c r="D153" s="191"/>
      <c r="E153" s="191">
        <f>'Realisasi April'!G150</f>
        <v>0</v>
      </c>
      <c r="F153" s="191"/>
      <c r="G153" s="191"/>
      <c r="H153" s="236" t="e">
        <f t="shared" ref="H153" si="63">G153/D153</f>
        <v>#DIV/0!</v>
      </c>
      <c r="I153" s="207"/>
      <c r="J153" s="175"/>
    </row>
    <row r="154" spans="1:10" s="176" customFormat="1" x14ac:dyDescent="0.25">
      <c r="A154" s="169"/>
      <c r="B154" s="170"/>
      <c r="C154" s="185"/>
      <c r="D154" s="191"/>
      <c r="E154" s="191"/>
      <c r="F154" s="191"/>
      <c r="G154" s="191"/>
      <c r="H154" s="236"/>
      <c r="I154" s="207"/>
      <c r="J154" s="175"/>
    </row>
    <row r="155" spans="1:10" s="176" customFormat="1" x14ac:dyDescent="0.25">
      <c r="A155" s="168" t="s">
        <v>74</v>
      </c>
      <c r="B155" s="189" t="s">
        <v>338</v>
      </c>
      <c r="C155" s="34" t="s">
        <v>339</v>
      </c>
      <c r="D155" s="191">
        <f>D156+D159</f>
        <v>0</v>
      </c>
      <c r="E155" s="191">
        <f>E156+E159</f>
        <v>20260678</v>
      </c>
      <c r="F155" s="191">
        <f t="shared" ref="F155:G155" si="64">F156+F159</f>
        <v>69185837</v>
      </c>
      <c r="G155" s="191">
        <f t="shared" si="64"/>
        <v>89446515</v>
      </c>
      <c r="H155" s="277" t="e">
        <f>G155/D155</f>
        <v>#DIV/0!</v>
      </c>
      <c r="I155" s="207"/>
      <c r="J155" s="175"/>
    </row>
    <row r="156" spans="1:10" s="176" customFormat="1" x14ac:dyDescent="0.25">
      <c r="A156" s="169"/>
      <c r="B156" s="189" t="s">
        <v>596</v>
      </c>
      <c r="C156" s="180" t="s">
        <v>598</v>
      </c>
      <c r="D156" s="191">
        <f>D157</f>
        <v>0</v>
      </c>
      <c r="E156" s="191">
        <f>E157</f>
        <v>3000000</v>
      </c>
      <c r="F156" s="191">
        <f t="shared" ref="F156:G156" si="65">F157</f>
        <v>0</v>
      </c>
      <c r="G156" s="191">
        <f t="shared" si="65"/>
        <v>3000000</v>
      </c>
      <c r="H156" s="277" t="e">
        <f>G156/D156</f>
        <v>#DIV/0!</v>
      </c>
      <c r="I156" s="207"/>
      <c r="J156" s="175"/>
    </row>
    <row r="157" spans="1:10" s="176" customFormat="1" x14ac:dyDescent="0.25">
      <c r="A157" s="169"/>
      <c r="B157" s="190" t="s">
        <v>597</v>
      </c>
      <c r="C157" s="33" t="s">
        <v>598</v>
      </c>
      <c r="D157" s="192">
        <v>0</v>
      </c>
      <c r="E157" s="192">
        <f>'Realisasi April'!G154</f>
        <v>3000000</v>
      </c>
      <c r="F157" s="192"/>
      <c r="G157" s="192">
        <f>E157+F157</f>
        <v>3000000</v>
      </c>
      <c r="H157" s="278" t="e">
        <f>G157/D157</f>
        <v>#DIV/0!</v>
      </c>
      <c r="I157" s="207"/>
      <c r="J157" s="175"/>
    </row>
    <row r="158" spans="1:10" s="176" customFormat="1" x14ac:dyDescent="0.25">
      <c r="A158" s="169"/>
      <c r="B158" s="170"/>
      <c r="C158" s="180"/>
      <c r="D158" s="191"/>
      <c r="E158" s="191"/>
      <c r="F158" s="191"/>
      <c r="G158" s="191"/>
      <c r="H158" s="277"/>
      <c r="I158" s="207"/>
      <c r="J158" s="175"/>
    </row>
    <row r="159" spans="1:10" s="176" customFormat="1" x14ac:dyDescent="0.25">
      <c r="A159" s="169"/>
      <c r="B159" s="189" t="s">
        <v>599</v>
      </c>
      <c r="C159" s="180" t="s">
        <v>601</v>
      </c>
      <c r="D159" s="191">
        <f>D160</f>
        <v>0</v>
      </c>
      <c r="E159" s="191">
        <f>E160</f>
        <v>17260678</v>
      </c>
      <c r="F159" s="191">
        <f t="shared" ref="F159:G159" si="66">F160</f>
        <v>69185837</v>
      </c>
      <c r="G159" s="191">
        <f t="shared" si="66"/>
        <v>86446515</v>
      </c>
      <c r="H159" s="277" t="e">
        <f>G159/D159</f>
        <v>#DIV/0!</v>
      </c>
      <c r="I159" s="207"/>
      <c r="J159" s="175"/>
    </row>
    <row r="160" spans="1:10" s="176" customFormat="1" x14ac:dyDescent="0.25">
      <c r="A160" s="169"/>
      <c r="B160" s="190" t="s">
        <v>600</v>
      </c>
      <c r="C160" s="33" t="s">
        <v>601</v>
      </c>
      <c r="D160" s="192">
        <v>0</v>
      </c>
      <c r="E160" s="192">
        <f>'Realisasi April'!G157</f>
        <v>17260678</v>
      </c>
      <c r="F160" s="192">
        <v>69185837</v>
      </c>
      <c r="G160" s="192">
        <f>E160+F160</f>
        <v>86446515</v>
      </c>
      <c r="H160" s="278" t="e">
        <f>G160/D160</f>
        <v>#DIV/0!</v>
      </c>
      <c r="I160" s="207"/>
      <c r="J160" s="175"/>
    </row>
    <row r="161" spans="1:10" s="176" customFormat="1" x14ac:dyDescent="0.25">
      <c r="A161" s="169"/>
      <c r="B161" s="190"/>
      <c r="C161" s="33"/>
      <c r="D161" s="192"/>
      <c r="E161" s="192"/>
      <c r="F161" s="192"/>
      <c r="G161" s="192"/>
      <c r="H161" s="278"/>
      <c r="I161" s="207"/>
      <c r="J161" s="175"/>
    </row>
    <row r="162" spans="1:10" s="176" customFormat="1" x14ac:dyDescent="0.25">
      <c r="A162" s="168" t="s">
        <v>81</v>
      </c>
      <c r="B162" s="22" t="s">
        <v>306</v>
      </c>
      <c r="C162" s="185" t="s">
        <v>75</v>
      </c>
      <c r="D162" s="196">
        <f>D163</f>
        <v>122100000000</v>
      </c>
      <c r="E162" s="196">
        <f t="shared" ref="E162:G163" si="67">E163</f>
        <v>80906858515</v>
      </c>
      <c r="F162" s="196">
        <f t="shared" si="67"/>
        <v>8053865585</v>
      </c>
      <c r="G162" s="196">
        <f t="shared" si="67"/>
        <v>88960724100</v>
      </c>
      <c r="H162" s="236">
        <f t="shared" ref="H162:H194" si="68">G162/D162</f>
        <v>0.72858905896805892</v>
      </c>
      <c r="I162" s="207" t="s">
        <v>112</v>
      </c>
      <c r="J162" s="175"/>
    </row>
    <row r="163" spans="1:10" s="176" customFormat="1" x14ac:dyDescent="0.25">
      <c r="A163" s="168"/>
      <c r="B163" s="189" t="s">
        <v>340</v>
      </c>
      <c r="C163" s="185" t="s">
        <v>341</v>
      </c>
      <c r="D163" s="196">
        <f>D164</f>
        <v>122100000000</v>
      </c>
      <c r="E163" s="196">
        <f t="shared" si="67"/>
        <v>80906858515</v>
      </c>
      <c r="F163" s="196">
        <f t="shared" si="67"/>
        <v>8053865585</v>
      </c>
      <c r="G163" s="196">
        <f t="shared" si="67"/>
        <v>88960724100</v>
      </c>
      <c r="H163" s="236">
        <f t="shared" si="68"/>
        <v>0.72858905896805892</v>
      </c>
      <c r="I163" s="207"/>
      <c r="J163" s="175"/>
    </row>
    <row r="164" spans="1:10" s="176" customFormat="1" x14ac:dyDescent="0.25">
      <c r="A164" s="188"/>
      <c r="B164" s="178"/>
      <c r="C164" s="185" t="s">
        <v>113</v>
      </c>
      <c r="D164" s="191">
        <f>D165+D172+D178+D181+D185+D188+D191+D194+D198</f>
        <v>122100000000</v>
      </c>
      <c r="E164" s="191">
        <f t="shared" ref="E164:G164" si="69">E165+E172+E178+E181+E185+E188+E191+E194+E198</f>
        <v>80906858515</v>
      </c>
      <c r="F164" s="191">
        <f t="shared" si="69"/>
        <v>8053865585</v>
      </c>
      <c r="G164" s="191">
        <f t="shared" si="69"/>
        <v>88960724100</v>
      </c>
      <c r="H164" s="236">
        <f>G164/D164</f>
        <v>0.72858905896805892</v>
      </c>
      <c r="I164" s="207" t="s">
        <v>114</v>
      </c>
      <c r="J164" s="175"/>
    </row>
    <row r="165" spans="1:10" s="176" customFormat="1" x14ac:dyDescent="0.25">
      <c r="A165" s="188"/>
      <c r="B165" s="178"/>
      <c r="C165" s="35" t="s">
        <v>115</v>
      </c>
      <c r="D165" s="191">
        <f>SUM(D166:D171)</f>
        <v>10327224000</v>
      </c>
      <c r="E165" s="191">
        <f t="shared" ref="E165:G165" si="70">SUM(E166:E171)</f>
        <v>2982601519</v>
      </c>
      <c r="F165" s="191">
        <f t="shared" si="70"/>
        <v>935271090</v>
      </c>
      <c r="G165" s="191">
        <f t="shared" si="70"/>
        <v>3917872609</v>
      </c>
      <c r="H165" s="236">
        <f t="shared" si="68"/>
        <v>0.37937325742135541</v>
      </c>
      <c r="I165" s="207"/>
      <c r="J165" s="175"/>
    </row>
    <row r="166" spans="1:10" s="176" customFormat="1" x14ac:dyDescent="0.25">
      <c r="A166" s="188"/>
      <c r="B166" s="178"/>
      <c r="C166" s="171" t="s">
        <v>116</v>
      </c>
      <c r="D166" s="192">
        <v>794144000</v>
      </c>
      <c r="E166" s="192">
        <f>'Realisasi April'!G163</f>
        <v>245068417</v>
      </c>
      <c r="F166" s="192">
        <v>101416107</v>
      </c>
      <c r="G166" s="192">
        <f>E166+F166</f>
        <v>346484524</v>
      </c>
      <c r="H166" s="24">
        <f t="shared" si="68"/>
        <v>0.43629936636176814</v>
      </c>
      <c r="I166" s="207"/>
      <c r="J166" s="175"/>
    </row>
    <row r="167" spans="1:10" s="176" customFormat="1" x14ac:dyDescent="0.25">
      <c r="A167" s="188"/>
      <c r="B167" s="178"/>
      <c r="C167" s="171" t="s">
        <v>117</v>
      </c>
      <c r="D167" s="192">
        <v>1454000000</v>
      </c>
      <c r="E167" s="192">
        <f>'Realisasi April'!G164</f>
        <v>671424630</v>
      </c>
      <c r="F167" s="192">
        <v>88464260</v>
      </c>
      <c r="G167" s="192">
        <f t="shared" ref="G167:G171" si="71">E167+F167</f>
        <v>759888890</v>
      </c>
      <c r="H167" s="24">
        <f t="shared" si="68"/>
        <v>0.52261959422283355</v>
      </c>
      <c r="I167" s="207"/>
      <c r="J167" s="175"/>
    </row>
    <row r="168" spans="1:10" s="176" customFormat="1" x14ac:dyDescent="0.25">
      <c r="A168" s="188"/>
      <c r="B168" s="178"/>
      <c r="C168" s="171" t="s">
        <v>118</v>
      </c>
      <c r="D168" s="192">
        <v>4535600000</v>
      </c>
      <c r="E168" s="192">
        <f>'Realisasi April'!G165</f>
        <v>1138059231</v>
      </c>
      <c r="F168" s="192">
        <v>433999516</v>
      </c>
      <c r="G168" s="192">
        <f t="shared" si="71"/>
        <v>1572058747</v>
      </c>
      <c r="H168" s="24">
        <f t="shared" si="68"/>
        <v>0.34660436259811273</v>
      </c>
      <c r="I168" s="207"/>
      <c r="J168" s="175"/>
    </row>
    <row r="169" spans="1:10" s="176" customFormat="1" x14ac:dyDescent="0.25">
      <c r="A169" s="188"/>
      <c r="B169" s="178"/>
      <c r="C169" s="171" t="s">
        <v>119</v>
      </c>
      <c r="D169" s="192">
        <v>2388980000</v>
      </c>
      <c r="E169" s="192">
        <f>'Realisasi April'!G166</f>
        <v>449661665</v>
      </c>
      <c r="F169" s="192">
        <v>161515082</v>
      </c>
      <c r="G169" s="192">
        <f t="shared" si="71"/>
        <v>611176747</v>
      </c>
      <c r="H169" s="24">
        <f t="shared" si="68"/>
        <v>0.25583167167577797</v>
      </c>
      <c r="I169" s="207"/>
      <c r="J169" s="175"/>
    </row>
    <row r="170" spans="1:10" s="176" customFormat="1" x14ac:dyDescent="0.25">
      <c r="A170" s="188"/>
      <c r="B170" s="178"/>
      <c r="C170" s="171" t="s">
        <v>120</v>
      </c>
      <c r="D170" s="192">
        <v>51200000</v>
      </c>
      <c r="E170" s="192">
        <f>'Realisasi April'!G167</f>
        <v>17186000</v>
      </c>
      <c r="F170" s="192">
        <v>2405000</v>
      </c>
      <c r="G170" s="192">
        <f t="shared" si="71"/>
        <v>19591000</v>
      </c>
      <c r="H170" s="24">
        <f t="shared" si="68"/>
        <v>0.38263671874999999</v>
      </c>
      <c r="I170" s="207"/>
      <c r="J170" s="175"/>
    </row>
    <row r="171" spans="1:10" s="176" customFormat="1" x14ac:dyDescent="0.25">
      <c r="A171" s="188"/>
      <c r="B171" s="178"/>
      <c r="C171" s="171" t="s">
        <v>121</v>
      </c>
      <c r="D171" s="192">
        <v>1103300000</v>
      </c>
      <c r="E171" s="192">
        <f>'Realisasi April'!G168</f>
        <v>461201576</v>
      </c>
      <c r="F171" s="192">
        <v>147471125</v>
      </c>
      <c r="G171" s="192">
        <f t="shared" si="71"/>
        <v>608672701</v>
      </c>
      <c r="H171" s="24">
        <f t="shared" si="68"/>
        <v>0.55168376778754646</v>
      </c>
      <c r="I171" s="207"/>
      <c r="J171" s="175"/>
    </row>
    <row r="172" spans="1:10" s="176" customFormat="1" x14ac:dyDescent="0.25">
      <c r="A172" s="188"/>
      <c r="B172" s="178"/>
      <c r="C172" s="185" t="s">
        <v>122</v>
      </c>
      <c r="D172" s="191">
        <f>SUM(D173:D177)</f>
        <v>71738434000</v>
      </c>
      <c r="E172" s="191">
        <f t="shared" ref="E172:G172" si="72">SUM(E173:E177)</f>
        <v>18953381019</v>
      </c>
      <c r="F172" s="191">
        <f t="shared" si="72"/>
        <v>6557957200</v>
      </c>
      <c r="G172" s="191">
        <f t="shared" si="72"/>
        <v>25511338219</v>
      </c>
      <c r="H172" s="236">
        <f t="shared" si="68"/>
        <v>0.35561604563322363</v>
      </c>
      <c r="I172" s="207"/>
      <c r="J172" s="175"/>
    </row>
    <row r="173" spans="1:10" s="176" customFormat="1" x14ac:dyDescent="0.25">
      <c r="A173" s="188"/>
      <c r="B173" s="178"/>
      <c r="C173" s="171" t="s">
        <v>117</v>
      </c>
      <c r="D173" s="192">
        <v>19459500000</v>
      </c>
      <c r="E173" s="192">
        <f>'Realisasi April'!G170</f>
        <v>5998068700</v>
      </c>
      <c r="F173" s="192">
        <v>2753713600</v>
      </c>
      <c r="G173" s="192">
        <f>E173+F173</f>
        <v>8751782300</v>
      </c>
      <c r="H173" s="24">
        <f t="shared" si="68"/>
        <v>0.44974343122896271</v>
      </c>
      <c r="I173" s="207"/>
      <c r="J173" s="175"/>
    </row>
    <row r="174" spans="1:10" s="176" customFormat="1" x14ac:dyDescent="0.25">
      <c r="A174" s="188"/>
      <c r="B174" s="178"/>
      <c r="C174" s="171" t="s">
        <v>118</v>
      </c>
      <c r="D174" s="192">
        <v>49831374000</v>
      </c>
      <c r="E174" s="192">
        <f>'Realisasi April'!G171</f>
        <v>11673744033</v>
      </c>
      <c r="F174" s="192">
        <v>3758393600</v>
      </c>
      <c r="G174" s="192">
        <f t="shared" ref="G174:G177" si="73">E174+F174</f>
        <v>15432137633</v>
      </c>
      <c r="H174" s="24">
        <f t="shared" si="68"/>
        <v>0.30968717886446401</v>
      </c>
      <c r="I174" s="207"/>
      <c r="J174" s="175"/>
    </row>
    <row r="175" spans="1:10" s="176" customFormat="1" x14ac:dyDescent="0.25">
      <c r="A175" s="188"/>
      <c r="B175" s="178"/>
      <c r="C175" s="171" t="s">
        <v>123</v>
      </c>
      <c r="D175" s="192">
        <v>227620000</v>
      </c>
      <c r="E175" s="192">
        <f>'Realisasi April'!G172</f>
        <v>127750000</v>
      </c>
      <c r="F175" s="192">
        <v>30250000</v>
      </c>
      <c r="G175" s="192">
        <f t="shared" si="73"/>
        <v>158000000</v>
      </c>
      <c r="H175" s="24">
        <f t="shared" si="68"/>
        <v>0.69413935506545998</v>
      </c>
      <c r="I175" s="207"/>
      <c r="J175" s="175"/>
    </row>
    <row r="176" spans="1:10" s="176" customFormat="1" x14ac:dyDescent="0.25">
      <c r="A176" s="188"/>
      <c r="B176" s="178"/>
      <c r="C176" s="171" t="s">
        <v>124</v>
      </c>
      <c r="D176" s="192">
        <v>2087340000</v>
      </c>
      <c r="E176" s="192">
        <f>'Realisasi April'!G173</f>
        <v>1114248886</v>
      </c>
      <c r="F176" s="192">
        <v>0</v>
      </c>
      <c r="G176" s="192">
        <f t="shared" si="73"/>
        <v>1114248886</v>
      </c>
      <c r="H176" s="24">
        <f t="shared" si="68"/>
        <v>0.53381283643297206</v>
      </c>
      <c r="I176" s="207"/>
      <c r="J176" s="175"/>
    </row>
    <row r="177" spans="1:10" s="176" customFormat="1" x14ac:dyDescent="0.25">
      <c r="A177" s="188"/>
      <c r="B177" s="178"/>
      <c r="C177" s="171" t="s">
        <v>120</v>
      </c>
      <c r="D177" s="192">
        <v>132600000</v>
      </c>
      <c r="E177" s="192">
        <f>'Realisasi April'!G174</f>
        <v>39569400</v>
      </c>
      <c r="F177" s="192">
        <v>15600000</v>
      </c>
      <c r="G177" s="192">
        <f t="shared" si="73"/>
        <v>55169400</v>
      </c>
      <c r="H177" s="24">
        <f t="shared" si="68"/>
        <v>0.41605882352941176</v>
      </c>
      <c r="I177" s="207"/>
      <c r="J177" s="175"/>
    </row>
    <row r="178" spans="1:10" s="176" customFormat="1" x14ac:dyDescent="0.25">
      <c r="A178" s="188"/>
      <c r="B178" s="178"/>
      <c r="C178" s="185" t="s">
        <v>125</v>
      </c>
      <c r="D178" s="191">
        <f>SUM(D179:D180)</f>
        <v>31531500000</v>
      </c>
      <c r="E178" s="191">
        <f t="shared" ref="E178:G178" si="74">SUM(E179:E180)</f>
        <v>57496344750</v>
      </c>
      <c r="F178" s="191">
        <f t="shared" si="74"/>
        <v>0</v>
      </c>
      <c r="G178" s="191">
        <f t="shared" si="74"/>
        <v>57496344750</v>
      </c>
      <c r="H178" s="236">
        <f t="shared" si="68"/>
        <v>1.8234573283858999</v>
      </c>
      <c r="I178" s="207"/>
      <c r="J178" s="175"/>
    </row>
    <row r="179" spans="1:10" s="176" customFormat="1" x14ac:dyDescent="0.25">
      <c r="A179" s="188"/>
      <c r="B179" s="178"/>
      <c r="C179" s="171" t="s">
        <v>117</v>
      </c>
      <c r="D179" s="192">
        <v>31500000</v>
      </c>
      <c r="E179" s="192">
        <f>'Realisasi April'!G176</f>
        <v>89200600</v>
      </c>
      <c r="F179" s="192"/>
      <c r="G179" s="192">
        <f>E179+F179</f>
        <v>89200600</v>
      </c>
      <c r="H179" s="24">
        <f t="shared" si="68"/>
        <v>2.8317650793650793</v>
      </c>
      <c r="I179" s="207"/>
      <c r="J179" s="175"/>
    </row>
    <row r="180" spans="1:10" s="176" customFormat="1" x14ac:dyDescent="0.25">
      <c r="A180" s="188"/>
      <c r="B180" s="178"/>
      <c r="C180" s="171" t="s">
        <v>118</v>
      </c>
      <c r="D180" s="192">
        <v>31500000000</v>
      </c>
      <c r="E180" s="192">
        <f>'Realisasi April'!G177</f>
        <v>57407144150</v>
      </c>
      <c r="F180" s="192"/>
      <c r="G180" s="192">
        <f>E180+F180</f>
        <v>57407144150</v>
      </c>
      <c r="H180" s="24">
        <f t="shared" si="68"/>
        <v>1.8224490206349206</v>
      </c>
      <c r="I180" s="207"/>
      <c r="J180" s="175"/>
    </row>
    <row r="181" spans="1:10" s="176" customFormat="1" x14ac:dyDescent="0.25">
      <c r="A181" s="188"/>
      <c r="B181" s="178"/>
      <c r="C181" s="185" t="s">
        <v>126</v>
      </c>
      <c r="D181" s="191">
        <f>SUM(D182:D184)</f>
        <v>3381016000</v>
      </c>
      <c r="E181" s="191">
        <f t="shared" ref="E181:G181" si="75">SUM(E182:E184)</f>
        <v>1254904060</v>
      </c>
      <c r="F181" s="191">
        <f t="shared" si="75"/>
        <v>446883557</v>
      </c>
      <c r="G181" s="191">
        <f t="shared" si="75"/>
        <v>1701787617</v>
      </c>
      <c r="H181" s="236">
        <f t="shared" si="68"/>
        <v>0.503336161970248</v>
      </c>
      <c r="I181" s="207"/>
      <c r="J181" s="175"/>
    </row>
    <row r="182" spans="1:10" s="176" customFormat="1" x14ac:dyDescent="0.25">
      <c r="A182" s="188"/>
      <c r="B182" s="178"/>
      <c r="C182" s="171" t="s">
        <v>117</v>
      </c>
      <c r="D182" s="192">
        <v>644736000</v>
      </c>
      <c r="E182" s="192">
        <f>'Realisasi April'!G179</f>
        <v>206583728</v>
      </c>
      <c r="F182" s="192">
        <v>47608120</v>
      </c>
      <c r="G182" s="192">
        <f>E182+F182</f>
        <v>254191848</v>
      </c>
      <c r="H182" s="24">
        <f t="shared" si="68"/>
        <v>0.39425725878499107</v>
      </c>
      <c r="I182" s="207" t="s">
        <v>127</v>
      </c>
      <c r="J182" s="175"/>
    </row>
    <row r="183" spans="1:10" s="176" customFormat="1" x14ac:dyDescent="0.25">
      <c r="A183" s="188"/>
      <c r="B183" s="178"/>
      <c r="C183" s="171" t="s">
        <v>118</v>
      </c>
      <c r="D183" s="192">
        <v>2080780000</v>
      </c>
      <c r="E183" s="192">
        <f>'Realisasi April'!G180</f>
        <v>847617244</v>
      </c>
      <c r="F183" s="192">
        <v>319764644</v>
      </c>
      <c r="G183" s="192">
        <f t="shared" ref="G183:G184" si="76">E183+F183</f>
        <v>1167381888</v>
      </c>
      <c r="H183" s="24">
        <f t="shared" si="68"/>
        <v>0.56103090571804803</v>
      </c>
      <c r="I183" s="207"/>
      <c r="J183" s="175"/>
    </row>
    <row r="184" spans="1:10" s="176" customFormat="1" x14ac:dyDescent="0.25">
      <c r="A184" s="188"/>
      <c r="B184" s="178"/>
      <c r="C184" s="171" t="s">
        <v>128</v>
      </c>
      <c r="D184" s="192">
        <v>655500000</v>
      </c>
      <c r="E184" s="192">
        <f>'Realisasi April'!G181</f>
        <v>200703088</v>
      </c>
      <c r="F184" s="192">
        <v>79510793</v>
      </c>
      <c r="G184" s="192">
        <f t="shared" si="76"/>
        <v>280213881</v>
      </c>
      <c r="H184" s="24">
        <f t="shared" si="68"/>
        <v>0.42748113043478259</v>
      </c>
      <c r="I184" s="207"/>
      <c r="J184" s="175"/>
    </row>
    <row r="185" spans="1:10" s="176" customFormat="1" x14ac:dyDescent="0.25">
      <c r="A185" s="169"/>
      <c r="B185" s="178"/>
      <c r="C185" s="185" t="s">
        <v>129</v>
      </c>
      <c r="D185" s="191">
        <f>SUM(D186:D187)</f>
        <v>3861588000</v>
      </c>
      <c r="E185" s="191">
        <f t="shared" ref="E185:G185" si="77">SUM(E186:E187)</f>
        <v>0</v>
      </c>
      <c r="F185" s="191">
        <f t="shared" si="77"/>
        <v>0</v>
      </c>
      <c r="G185" s="191">
        <f t="shared" si="77"/>
        <v>0</v>
      </c>
      <c r="H185" s="236">
        <f t="shared" si="68"/>
        <v>0</v>
      </c>
      <c r="I185" s="207"/>
      <c r="J185" s="175"/>
    </row>
    <row r="186" spans="1:10" s="176" customFormat="1" x14ac:dyDescent="0.25">
      <c r="A186" s="188"/>
      <c r="B186" s="178"/>
      <c r="C186" s="171" t="s">
        <v>117</v>
      </c>
      <c r="D186" s="192">
        <v>60588000</v>
      </c>
      <c r="E186" s="192">
        <f>'Realisasi April'!G183</f>
        <v>0</v>
      </c>
      <c r="F186" s="192"/>
      <c r="G186" s="192">
        <f>E186+F186</f>
        <v>0</v>
      </c>
      <c r="H186" s="24">
        <f t="shared" si="68"/>
        <v>0</v>
      </c>
      <c r="I186" s="207"/>
      <c r="J186" s="175"/>
    </row>
    <row r="187" spans="1:10" s="176" customFormat="1" x14ac:dyDescent="0.25">
      <c r="A187" s="188"/>
      <c r="B187" s="178"/>
      <c r="C187" s="171" t="s">
        <v>118</v>
      </c>
      <c r="D187" s="192">
        <v>3801000000</v>
      </c>
      <c r="E187" s="192">
        <f>'Realisasi April'!G184</f>
        <v>0</v>
      </c>
      <c r="F187" s="192"/>
      <c r="G187" s="192">
        <f>E187+F187</f>
        <v>0</v>
      </c>
      <c r="H187" s="24">
        <f t="shared" si="68"/>
        <v>0</v>
      </c>
      <c r="I187" s="207"/>
      <c r="J187" s="175"/>
    </row>
    <row r="188" spans="1:10" s="176" customFormat="1" x14ac:dyDescent="0.25">
      <c r="A188" s="188"/>
      <c r="B188" s="178"/>
      <c r="C188" s="185" t="s">
        <v>130</v>
      </c>
      <c r="D188" s="191">
        <f>SUM(D189:D190)</f>
        <v>249113200</v>
      </c>
      <c r="E188" s="191">
        <f t="shared" ref="E188:G188" si="78">SUM(E189:E190)</f>
        <v>0</v>
      </c>
      <c r="F188" s="191">
        <f t="shared" si="78"/>
        <v>0</v>
      </c>
      <c r="G188" s="191">
        <f t="shared" si="78"/>
        <v>0</v>
      </c>
      <c r="H188" s="236">
        <f t="shared" si="68"/>
        <v>0</v>
      </c>
      <c r="I188" s="207"/>
      <c r="J188" s="175"/>
    </row>
    <row r="189" spans="1:10" s="176" customFormat="1" x14ac:dyDescent="0.25">
      <c r="A189" s="188"/>
      <c r="B189" s="178"/>
      <c r="C189" s="171" t="s">
        <v>117</v>
      </c>
      <c r="D189" s="192">
        <v>554500</v>
      </c>
      <c r="E189" s="192">
        <f>'Realisasi April'!G186</f>
        <v>0</v>
      </c>
      <c r="F189" s="192"/>
      <c r="G189" s="192">
        <f>E189+F189</f>
        <v>0</v>
      </c>
      <c r="H189" s="24">
        <f t="shared" si="68"/>
        <v>0</v>
      </c>
      <c r="I189" s="207"/>
      <c r="J189" s="175"/>
    </row>
    <row r="190" spans="1:10" s="176" customFormat="1" x14ac:dyDescent="0.25">
      <c r="A190" s="188"/>
      <c r="B190" s="178"/>
      <c r="C190" s="171" t="s">
        <v>118</v>
      </c>
      <c r="D190" s="192">
        <v>248558700</v>
      </c>
      <c r="E190" s="192">
        <f>'Realisasi April'!G187</f>
        <v>0</v>
      </c>
      <c r="F190" s="192"/>
      <c r="G190" s="192">
        <f>E190+F190</f>
        <v>0</v>
      </c>
      <c r="H190" s="24">
        <f t="shared" si="68"/>
        <v>0</v>
      </c>
      <c r="I190" s="207"/>
      <c r="J190" s="175"/>
    </row>
    <row r="191" spans="1:10" s="176" customFormat="1" x14ac:dyDescent="0.25">
      <c r="A191" s="188"/>
      <c r="B191" s="178"/>
      <c r="C191" s="185" t="s">
        <v>131</v>
      </c>
      <c r="D191" s="191">
        <f>SUM(D192:D193)</f>
        <v>90525000</v>
      </c>
      <c r="E191" s="191">
        <f t="shared" ref="E191:G191" si="79">SUM(E192:E193)</f>
        <v>0</v>
      </c>
      <c r="F191" s="191">
        <f t="shared" si="79"/>
        <v>0</v>
      </c>
      <c r="G191" s="191">
        <f t="shared" si="79"/>
        <v>0</v>
      </c>
      <c r="H191" s="236">
        <f t="shared" si="68"/>
        <v>0</v>
      </c>
      <c r="I191" s="207"/>
      <c r="J191" s="175"/>
    </row>
    <row r="192" spans="1:10" s="176" customFormat="1" x14ac:dyDescent="0.25">
      <c r="A192" s="188"/>
      <c r="B192" s="178"/>
      <c r="C192" s="171" t="s">
        <v>117</v>
      </c>
      <c r="D192" s="192">
        <v>525000</v>
      </c>
      <c r="E192" s="192">
        <f>'Realisasi April'!G189</f>
        <v>0</v>
      </c>
      <c r="F192" s="192"/>
      <c r="G192" s="192">
        <f>E192+F192</f>
        <v>0</v>
      </c>
      <c r="H192" s="24">
        <f t="shared" si="68"/>
        <v>0</v>
      </c>
      <c r="I192" s="207"/>
      <c r="J192" s="175"/>
    </row>
    <row r="193" spans="1:12" s="176" customFormat="1" x14ac:dyDescent="0.25">
      <c r="A193" s="188"/>
      <c r="B193" s="178"/>
      <c r="C193" s="171" t="s">
        <v>118</v>
      </c>
      <c r="D193" s="192">
        <v>90000000</v>
      </c>
      <c r="E193" s="192">
        <f>'Realisasi April'!G190</f>
        <v>0</v>
      </c>
      <c r="F193" s="192"/>
      <c r="G193" s="192">
        <f>E193+F193</f>
        <v>0</v>
      </c>
      <c r="H193" s="24">
        <f t="shared" si="68"/>
        <v>0</v>
      </c>
      <c r="I193" s="207"/>
      <c r="J193" s="175"/>
    </row>
    <row r="194" spans="1:12" s="176" customFormat="1" x14ac:dyDescent="0.25">
      <c r="A194" s="188"/>
      <c r="B194" s="178"/>
      <c r="C194" s="185" t="s">
        <v>132</v>
      </c>
      <c r="D194" s="191">
        <f>SUM(D195:D197)</f>
        <v>732799800</v>
      </c>
      <c r="E194" s="191">
        <f t="shared" ref="E194:G194" si="80">SUM(E195:E197)</f>
        <v>179865000</v>
      </c>
      <c r="F194" s="191">
        <f t="shared" si="80"/>
        <v>7510000</v>
      </c>
      <c r="G194" s="191">
        <f t="shared" si="80"/>
        <v>187375000</v>
      </c>
      <c r="H194" s="236">
        <f t="shared" si="68"/>
        <v>0.25569739511391787</v>
      </c>
      <c r="I194" s="207"/>
      <c r="J194" s="175"/>
    </row>
    <row r="195" spans="1:12" s="176" customFormat="1" x14ac:dyDescent="0.25">
      <c r="A195" s="188"/>
      <c r="B195" s="178"/>
      <c r="C195" s="171" t="s">
        <v>133</v>
      </c>
      <c r="D195" s="192">
        <v>0</v>
      </c>
      <c r="E195" s="192">
        <f>'Realisasi April'!G192</f>
        <v>0</v>
      </c>
      <c r="F195" s="192"/>
      <c r="G195" s="192">
        <f>E195+F195</f>
        <v>0</v>
      </c>
      <c r="H195" s="24"/>
      <c r="I195" s="207"/>
      <c r="J195" s="175"/>
    </row>
    <row r="196" spans="1:12" s="176" customFormat="1" x14ac:dyDescent="0.25">
      <c r="A196" s="188"/>
      <c r="B196" s="178"/>
      <c r="C196" s="171" t="s">
        <v>134</v>
      </c>
      <c r="D196" s="192">
        <v>28000000</v>
      </c>
      <c r="E196" s="192">
        <f>'Realisasi April'!G193</f>
        <v>34800000</v>
      </c>
      <c r="F196" s="192">
        <v>5500000</v>
      </c>
      <c r="G196" s="192">
        <f t="shared" ref="G196:G197" si="81">E196+F196</f>
        <v>40300000</v>
      </c>
      <c r="H196" s="24">
        <f>G196/D196</f>
        <v>1.4392857142857143</v>
      </c>
      <c r="I196" s="207" t="s">
        <v>135</v>
      </c>
      <c r="J196" s="175"/>
    </row>
    <row r="197" spans="1:12" s="176" customFormat="1" x14ac:dyDescent="0.25">
      <c r="A197" s="188"/>
      <c r="B197" s="178"/>
      <c r="C197" s="171" t="s">
        <v>136</v>
      </c>
      <c r="D197" s="192">
        <v>704799800</v>
      </c>
      <c r="E197" s="192">
        <f>'Realisasi April'!G194</f>
        <v>145065000</v>
      </c>
      <c r="F197" s="192">
        <v>2010000</v>
      </c>
      <c r="G197" s="192">
        <f t="shared" si="81"/>
        <v>147075000</v>
      </c>
      <c r="H197" s="24">
        <f>G197/D197</f>
        <v>0.20867627942005659</v>
      </c>
      <c r="I197" s="207"/>
      <c r="J197" s="175"/>
    </row>
    <row r="198" spans="1:12" s="176" customFormat="1" x14ac:dyDescent="0.25">
      <c r="A198" s="188"/>
      <c r="B198" s="178"/>
      <c r="C198" s="185" t="s">
        <v>137</v>
      </c>
      <c r="D198" s="191">
        <f>SUM(D199:D200)</f>
        <v>187800000</v>
      </c>
      <c r="E198" s="191">
        <f t="shared" ref="E198:G198" si="82">SUM(E199:E200)</f>
        <v>39762167</v>
      </c>
      <c r="F198" s="191">
        <f t="shared" si="82"/>
        <v>106243738</v>
      </c>
      <c r="G198" s="191">
        <f t="shared" si="82"/>
        <v>146005905</v>
      </c>
      <c r="H198" s="236">
        <f>G198/D198</f>
        <v>0.77745423322683704</v>
      </c>
      <c r="I198" s="207"/>
      <c r="J198" s="175"/>
    </row>
    <row r="199" spans="1:12" s="176" customFormat="1" x14ac:dyDescent="0.25">
      <c r="A199" s="188"/>
      <c r="B199" s="178"/>
      <c r="C199" s="171" t="s">
        <v>138</v>
      </c>
      <c r="D199" s="192">
        <v>133800000</v>
      </c>
      <c r="E199" s="192">
        <f>'Realisasi April'!G196</f>
        <v>39762167</v>
      </c>
      <c r="F199" s="192">
        <v>106243738</v>
      </c>
      <c r="G199" s="192">
        <f>E199+F199</f>
        <v>146005905</v>
      </c>
      <c r="H199" s="24">
        <f>G199/D199</f>
        <v>1.0912249999999999</v>
      </c>
      <c r="I199" s="207" t="s">
        <v>139</v>
      </c>
      <c r="J199" s="175"/>
    </row>
    <row r="200" spans="1:12" s="176" customFormat="1" x14ac:dyDescent="0.25">
      <c r="A200" s="188"/>
      <c r="B200" s="178"/>
      <c r="C200" s="171" t="s">
        <v>140</v>
      </c>
      <c r="D200" s="192">
        <v>54000000</v>
      </c>
      <c r="E200" s="192">
        <f>'Realisasi April'!G197</f>
        <v>0</v>
      </c>
      <c r="F200" s="192"/>
      <c r="G200" s="192">
        <f>E200+F200</f>
        <v>0</v>
      </c>
      <c r="H200" s="24">
        <f>G200/D200</f>
        <v>0</v>
      </c>
      <c r="I200" s="207"/>
      <c r="J200" s="175"/>
    </row>
    <row r="201" spans="1:12" s="176" customFormat="1" x14ac:dyDescent="0.25">
      <c r="A201" s="188"/>
      <c r="B201" s="178"/>
      <c r="C201" s="171"/>
      <c r="D201" s="192"/>
      <c r="E201" s="192"/>
      <c r="F201" s="192"/>
      <c r="G201" s="191"/>
      <c r="H201" s="236"/>
      <c r="I201" s="207"/>
      <c r="J201" s="175"/>
    </row>
    <row r="202" spans="1:12" s="176" customFormat="1" x14ac:dyDescent="0.25">
      <c r="A202" s="168" t="s">
        <v>452</v>
      </c>
      <c r="B202" s="22" t="s">
        <v>306</v>
      </c>
      <c r="C202" s="185" t="s">
        <v>75</v>
      </c>
      <c r="D202" s="191">
        <f>SUM(D203)</f>
        <v>14496560466</v>
      </c>
      <c r="E202" s="191">
        <f t="shared" ref="E202:G202" si="83">SUM(E203)</f>
        <v>4404367121.6599989</v>
      </c>
      <c r="F202" s="191">
        <f t="shared" si="83"/>
        <v>1108776314.7199998</v>
      </c>
      <c r="G202" s="191">
        <f t="shared" si="83"/>
        <v>5513143436.3800001</v>
      </c>
      <c r="H202" s="236">
        <f t="shared" ref="H202:H214" si="84">G202/D202</f>
        <v>0.38030700105107262</v>
      </c>
      <c r="I202" s="207" t="s">
        <v>141</v>
      </c>
      <c r="J202" s="175"/>
    </row>
    <row r="203" spans="1:12" s="176" customFormat="1" x14ac:dyDescent="0.25">
      <c r="A203" s="188"/>
      <c r="B203" s="189" t="s">
        <v>340</v>
      </c>
      <c r="C203" s="185" t="s">
        <v>341</v>
      </c>
      <c r="D203" s="191">
        <f>D204</f>
        <v>14496560466</v>
      </c>
      <c r="E203" s="191">
        <f>E204</f>
        <v>4404367121.6599989</v>
      </c>
      <c r="F203" s="191">
        <f t="shared" ref="F203:G203" si="85">F204</f>
        <v>1108776314.7199998</v>
      </c>
      <c r="G203" s="191">
        <f t="shared" si="85"/>
        <v>5513143436.3800001</v>
      </c>
      <c r="H203" s="236">
        <f t="shared" si="84"/>
        <v>0.38030700105107262</v>
      </c>
      <c r="I203" s="207" t="s">
        <v>143</v>
      </c>
      <c r="J203" s="294"/>
      <c r="K203" s="295"/>
      <c r="L203" s="295"/>
    </row>
    <row r="204" spans="1:12" s="176" customFormat="1" x14ac:dyDescent="0.25">
      <c r="A204" s="188"/>
      <c r="B204" s="178"/>
      <c r="C204" s="172" t="s">
        <v>142</v>
      </c>
      <c r="D204" s="191">
        <f>SUM(D205:D214)</f>
        <v>14496560466</v>
      </c>
      <c r="E204" s="191">
        <f>SUM(E205:E214)</f>
        <v>4404367121.6599989</v>
      </c>
      <c r="F204" s="191">
        <f t="shared" ref="F204:G204" si="86">SUM(F205:F214)</f>
        <v>1108776314.7199998</v>
      </c>
      <c r="G204" s="191">
        <f t="shared" si="86"/>
        <v>5513143436.3800001</v>
      </c>
      <c r="H204" s="236">
        <f t="shared" si="84"/>
        <v>0.38030700105107262</v>
      </c>
      <c r="I204" s="207"/>
      <c r="J204" s="294"/>
      <c r="K204" s="295"/>
      <c r="L204" s="295"/>
    </row>
    <row r="205" spans="1:12" s="176" customFormat="1" x14ac:dyDescent="0.25">
      <c r="A205" s="188"/>
      <c r="B205" s="178"/>
      <c r="C205" s="171" t="s">
        <v>144</v>
      </c>
      <c r="D205" s="192">
        <v>1873243500</v>
      </c>
      <c r="E205" s="192">
        <f>'Realisasi April'!G202</f>
        <v>499413358.80000001</v>
      </c>
      <c r="F205" s="192">
        <v>134323521.78999999</v>
      </c>
      <c r="G205" s="192">
        <f>E205+F205</f>
        <v>633736880.59000003</v>
      </c>
      <c r="H205" s="24">
        <f t="shared" si="84"/>
        <v>0.33830993172537366</v>
      </c>
      <c r="I205" s="207" t="s">
        <v>145</v>
      </c>
      <c r="J205" s="294"/>
      <c r="K205" s="296"/>
      <c r="L205" s="295"/>
    </row>
    <row r="206" spans="1:12" s="176" customFormat="1" x14ac:dyDescent="0.25">
      <c r="A206" s="188"/>
      <c r="B206" s="178"/>
      <c r="C206" s="171" t="s">
        <v>146</v>
      </c>
      <c r="D206" s="192">
        <v>1100000000</v>
      </c>
      <c r="E206" s="192">
        <f>'Realisasi April'!G203</f>
        <v>313561749.25</v>
      </c>
      <c r="F206" s="192">
        <v>82061506.409999996</v>
      </c>
      <c r="G206" s="192">
        <f t="shared" ref="G206:G214" si="87">E206+F206</f>
        <v>395623255.65999997</v>
      </c>
      <c r="H206" s="24">
        <f t="shared" si="84"/>
        <v>0.35965750514545453</v>
      </c>
      <c r="I206" s="207"/>
      <c r="J206" s="294"/>
      <c r="K206" s="296"/>
      <c r="L206" s="295"/>
    </row>
    <row r="207" spans="1:12" s="176" customFormat="1" x14ac:dyDescent="0.25">
      <c r="A207" s="188"/>
      <c r="B207" s="178"/>
      <c r="C207" s="171" t="s">
        <v>147</v>
      </c>
      <c r="D207" s="192">
        <v>1400000000</v>
      </c>
      <c r="E207" s="192">
        <f>'Realisasi April'!G204</f>
        <v>396884453.63</v>
      </c>
      <c r="F207" s="192">
        <v>97259603.140000001</v>
      </c>
      <c r="G207" s="192">
        <f t="shared" si="87"/>
        <v>494144056.76999998</v>
      </c>
      <c r="H207" s="24">
        <f t="shared" si="84"/>
        <v>0.35296004054999996</v>
      </c>
      <c r="I207" s="207" t="s">
        <v>148</v>
      </c>
      <c r="J207" s="294"/>
      <c r="K207" s="296"/>
      <c r="L207" s="295"/>
    </row>
    <row r="208" spans="1:12" s="176" customFormat="1" x14ac:dyDescent="0.25">
      <c r="A208" s="188"/>
      <c r="B208" s="178"/>
      <c r="C208" s="171" t="s">
        <v>149</v>
      </c>
      <c r="D208" s="192">
        <v>2361598960</v>
      </c>
      <c r="E208" s="192">
        <f>'Realisasi April'!G205</f>
        <v>735424425.83000004</v>
      </c>
      <c r="F208" s="192">
        <v>160844421.33000001</v>
      </c>
      <c r="G208" s="192">
        <f t="shared" si="87"/>
        <v>896268847.16000009</v>
      </c>
      <c r="H208" s="24">
        <f t="shared" si="84"/>
        <v>0.37951780227748749</v>
      </c>
      <c r="I208" s="207" t="s">
        <v>150</v>
      </c>
      <c r="J208" s="294"/>
      <c r="K208" s="296"/>
      <c r="L208" s="295"/>
    </row>
    <row r="209" spans="1:12" s="176" customFormat="1" x14ac:dyDescent="0.25">
      <c r="A209" s="188"/>
      <c r="B209" s="178"/>
      <c r="C209" s="171" t="s">
        <v>151</v>
      </c>
      <c r="D209" s="192">
        <v>922500000</v>
      </c>
      <c r="E209" s="192">
        <f>'Realisasi April'!G206</f>
        <v>288216716.75999999</v>
      </c>
      <c r="F209" s="181">
        <v>77300672.010000005</v>
      </c>
      <c r="G209" s="192">
        <f t="shared" si="87"/>
        <v>365517388.76999998</v>
      </c>
      <c r="H209" s="24">
        <f t="shared" si="84"/>
        <v>0.39622481167479673</v>
      </c>
      <c r="I209" s="207" t="s">
        <v>152</v>
      </c>
      <c r="J209" s="294"/>
      <c r="K209" s="296"/>
      <c r="L209" s="295"/>
    </row>
    <row r="210" spans="1:12" s="176" customFormat="1" x14ac:dyDescent="0.25">
      <c r="A210" s="188"/>
      <c r="B210" s="178"/>
      <c r="C210" s="171" t="s">
        <v>153</v>
      </c>
      <c r="D210" s="192">
        <v>1105404000</v>
      </c>
      <c r="E210" s="192">
        <f>'Realisasi April'!G207</f>
        <v>368289077.24000001</v>
      </c>
      <c r="F210" s="192">
        <v>91342495.540000007</v>
      </c>
      <c r="G210" s="192">
        <f t="shared" si="87"/>
        <v>459631572.78000003</v>
      </c>
      <c r="H210" s="24">
        <f t="shared" si="84"/>
        <v>0.41580415194806608</v>
      </c>
      <c r="I210" s="207"/>
      <c r="J210" s="294"/>
      <c r="K210" s="296"/>
      <c r="L210" s="295"/>
    </row>
    <row r="211" spans="1:12" s="176" customFormat="1" x14ac:dyDescent="0.25">
      <c r="A211" s="188"/>
      <c r="B211" s="178"/>
      <c r="C211" s="171" t="s">
        <v>154</v>
      </c>
      <c r="D211" s="192">
        <v>551536356</v>
      </c>
      <c r="E211" s="192">
        <f>'Realisasi April'!G208</f>
        <v>197827010.32000002</v>
      </c>
      <c r="F211" s="181">
        <v>51433608.399999999</v>
      </c>
      <c r="G211" s="192">
        <f t="shared" si="87"/>
        <v>249260618.72000003</v>
      </c>
      <c r="H211" s="24">
        <f t="shared" si="84"/>
        <v>0.45193869091016009</v>
      </c>
      <c r="I211" s="207" t="s">
        <v>155</v>
      </c>
      <c r="J211" s="294"/>
      <c r="K211" s="296"/>
      <c r="L211" s="295"/>
    </row>
    <row r="212" spans="1:12" s="176" customFormat="1" x14ac:dyDescent="0.25">
      <c r="A212" s="188"/>
      <c r="B212" s="178"/>
      <c r="C212" s="171" t="s">
        <v>156</v>
      </c>
      <c r="D212" s="192">
        <v>2380000000</v>
      </c>
      <c r="E212" s="192">
        <f>'Realisasi April'!G209</f>
        <v>775552996.80999994</v>
      </c>
      <c r="F212" s="181">
        <v>198635675.5</v>
      </c>
      <c r="G212" s="192">
        <f t="shared" si="87"/>
        <v>974188672.30999994</v>
      </c>
      <c r="H212" s="24">
        <f t="shared" si="84"/>
        <v>0.40932297155882352</v>
      </c>
      <c r="I212" s="207" t="s">
        <v>157</v>
      </c>
      <c r="J212" s="294"/>
      <c r="K212" s="296"/>
      <c r="L212" s="295"/>
    </row>
    <row r="213" spans="1:12" s="176" customFormat="1" x14ac:dyDescent="0.25">
      <c r="A213" s="188"/>
      <c r="B213" s="178"/>
      <c r="C213" s="171" t="s">
        <v>158</v>
      </c>
      <c r="D213" s="192">
        <v>1048195000</v>
      </c>
      <c r="E213" s="192">
        <f>'Realisasi April'!G210</f>
        <v>345765955.74000001</v>
      </c>
      <c r="F213" s="192">
        <v>97836638.129999995</v>
      </c>
      <c r="G213" s="192">
        <f t="shared" si="87"/>
        <v>443602593.87</v>
      </c>
      <c r="H213" s="24">
        <f t="shared" si="84"/>
        <v>0.42320617239158742</v>
      </c>
      <c r="I213" s="207" t="s">
        <v>159</v>
      </c>
      <c r="J213" s="294"/>
      <c r="K213" s="296"/>
      <c r="L213" s="295"/>
    </row>
    <row r="214" spans="1:12" s="176" customFormat="1" x14ac:dyDescent="0.25">
      <c r="A214" s="188"/>
      <c r="B214" s="178"/>
      <c r="C214" s="171" t="s">
        <v>160</v>
      </c>
      <c r="D214" s="192">
        <v>1754082650</v>
      </c>
      <c r="E214" s="192">
        <f>'Realisasi April'!G211</f>
        <v>483431377.27999997</v>
      </c>
      <c r="F214" s="192">
        <v>117738172.47</v>
      </c>
      <c r="G214" s="192">
        <f t="shared" si="87"/>
        <v>601169549.75</v>
      </c>
      <c r="H214" s="24">
        <f t="shared" si="84"/>
        <v>0.34272589706648088</v>
      </c>
      <c r="I214" s="207" t="s">
        <v>161</v>
      </c>
      <c r="J214" s="294"/>
      <c r="K214" s="296"/>
      <c r="L214" s="295"/>
    </row>
    <row r="215" spans="1:12" s="176" customFormat="1" x14ac:dyDescent="0.25">
      <c r="A215" s="188"/>
      <c r="B215" s="178"/>
      <c r="C215" s="171"/>
      <c r="D215" s="192"/>
      <c r="E215" s="192"/>
      <c r="F215" s="192"/>
      <c r="G215" s="192"/>
      <c r="H215" s="24"/>
      <c r="I215" s="207"/>
      <c r="J215" s="294"/>
      <c r="K215" s="295"/>
      <c r="L215" s="295"/>
    </row>
    <row r="216" spans="1:12" s="176" customFormat="1" x14ac:dyDescent="0.25">
      <c r="A216" s="168" t="s">
        <v>591</v>
      </c>
      <c r="B216" s="22" t="s">
        <v>306</v>
      </c>
      <c r="C216" s="185" t="s">
        <v>75</v>
      </c>
      <c r="D216" s="196">
        <f t="shared" ref="D216:G219" si="88">D217</f>
        <v>167200000</v>
      </c>
      <c r="E216" s="196">
        <f t="shared" si="88"/>
        <v>32889311</v>
      </c>
      <c r="F216" s="196">
        <f t="shared" si="88"/>
        <v>11874562</v>
      </c>
      <c r="G216" s="196">
        <f t="shared" si="88"/>
        <v>44763873</v>
      </c>
      <c r="H216" s="236">
        <f>G216/D216</f>
        <v>0.26772651315789475</v>
      </c>
      <c r="I216" s="209"/>
      <c r="J216" s="294"/>
      <c r="K216" s="295"/>
      <c r="L216" s="295"/>
    </row>
    <row r="217" spans="1:12" s="176" customFormat="1" x14ac:dyDescent="0.25">
      <c r="A217" s="188"/>
      <c r="B217" s="189" t="s">
        <v>340</v>
      </c>
      <c r="C217" s="185" t="s">
        <v>341</v>
      </c>
      <c r="D217" s="196">
        <f t="shared" si="88"/>
        <v>167200000</v>
      </c>
      <c r="E217" s="196">
        <f t="shared" si="88"/>
        <v>32889311</v>
      </c>
      <c r="F217" s="196">
        <f t="shared" si="88"/>
        <v>11874562</v>
      </c>
      <c r="G217" s="196">
        <f t="shared" si="88"/>
        <v>44763873</v>
      </c>
      <c r="H217" s="236">
        <f>G217/D217</f>
        <v>0.26772651315789475</v>
      </c>
      <c r="I217" s="209"/>
      <c r="J217" s="294"/>
      <c r="K217" s="295"/>
      <c r="L217" s="295"/>
    </row>
    <row r="218" spans="1:12" s="176" customFormat="1" x14ac:dyDescent="0.25">
      <c r="A218" s="188"/>
      <c r="B218" s="22"/>
      <c r="C218" s="185" t="s">
        <v>76</v>
      </c>
      <c r="D218" s="196">
        <f t="shared" si="88"/>
        <v>167200000</v>
      </c>
      <c r="E218" s="196">
        <f t="shared" si="88"/>
        <v>32889311</v>
      </c>
      <c r="F218" s="196">
        <f t="shared" si="88"/>
        <v>11874562</v>
      </c>
      <c r="G218" s="196">
        <f t="shared" si="88"/>
        <v>44763873</v>
      </c>
      <c r="H218" s="236">
        <f>G218/D218</f>
        <v>0.26772651315789475</v>
      </c>
      <c r="I218" s="209"/>
      <c r="J218" s="294"/>
      <c r="K218" s="295"/>
      <c r="L218" s="295"/>
    </row>
    <row r="219" spans="1:12" s="176" customFormat="1" x14ac:dyDescent="0.25">
      <c r="A219" s="188"/>
      <c r="B219" s="178"/>
      <c r="C219" s="183" t="s">
        <v>77</v>
      </c>
      <c r="D219" s="191">
        <f t="shared" si="88"/>
        <v>167200000</v>
      </c>
      <c r="E219" s="191">
        <f t="shared" si="88"/>
        <v>32889311</v>
      </c>
      <c r="F219" s="191">
        <f t="shared" si="88"/>
        <v>11874562</v>
      </c>
      <c r="G219" s="191">
        <f t="shared" si="88"/>
        <v>44763873</v>
      </c>
      <c r="H219" s="236">
        <f>G219/D219</f>
        <v>0.26772651315789475</v>
      </c>
      <c r="I219" s="207"/>
      <c r="J219" s="294"/>
      <c r="K219" s="295"/>
      <c r="L219" s="295"/>
    </row>
    <row r="220" spans="1:12" s="176" customFormat="1" x14ac:dyDescent="0.25">
      <c r="A220" s="182"/>
      <c r="B220" s="177" t="s">
        <v>79</v>
      </c>
      <c r="C220" s="183" t="s">
        <v>80</v>
      </c>
      <c r="D220" s="192">
        <v>167200000</v>
      </c>
      <c r="E220" s="192">
        <f>'Realisasi April'!G217</f>
        <v>32889311</v>
      </c>
      <c r="F220" s="192">
        <v>11874562</v>
      </c>
      <c r="G220" s="192">
        <f>E220+F220</f>
        <v>44763873</v>
      </c>
      <c r="H220" s="24">
        <f>G220/D220</f>
        <v>0.26772651315789475</v>
      </c>
      <c r="I220" s="207" t="s">
        <v>78</v>
      </c>
      <c r="J220" s="294"/>
      <c r="K220" s="295"/>
      <c r="L220" s="295"/>
    </row>
    <row r="221" spans="1:12" s="176" customFormat="1" x14ac:dyDescent="0.25">
      <c r="A221" s="182"/>
      <c r="B221" s="177"/>
      <c r="C221" s="183"/>
      <c r="D221" s="192"/>
      <c r="E221" s="192"/>
      <c r="F221" s="192"/>
      <c r="G221" s="191"/>
      <c r="H221" s="24"/>
      <c r="I221" s="207"/>
      <c r="J221" s="294"/>
      <c r="K221" s="295"/>
      <c r="L221" s="295"/>
    </row>
    <row r="222" spans="1:12" s="187" customFormat="1" x14ac:dyDescent="0.25">
      <c r="A222" s="165" t="s">
        <v>627</v>
      </c>
      <c r="B222" s="179" t="s">
        <v>446</v>
      </c>
      <c r="C222" s="180" t="s">
        <v>447</v>
      </c>
      <c r="D222" s="191">
        <f>D223</f>
        <v>0</v>
      </c>
      <c r="E222" s="191"/>
      <c r="F222" s="191">
        <f>F223</f>
        <v>0</v>
      </c>
      <c r="G222" s="191">
        <f>G223</f>
        <v>0</v>
      </c>
      <c r="H222" s="236" t="e">
        <f>G222/D222</f>
        <v>#DIV/0!</v>
      </c>
      <c r="I222" s="216"/>
      <c r="J222" s="186"/>
    </row>
    <row r="223" spans="1:12" s="187" customFormat="1" x14ac:dyDescent="0.25">
      <c r="A223" s="254"/>
      <c r="B223" s="179" t="s">
        <v>448</v>
      </c>
      <c r="C223" s="180" t="s">
        <v>449</v>
      </c>
      <c r="D223" s="191">
        <f>SUM(D224:D226)</f>
        <v>0</v>
      </c>
      <c r="E223" s="191"/>
      <c r="F223" s="191">
        <f>SUM(F224:F226)</f>
        <v>0</v>
      </c>
      <c r="G223" s="191">
        <f>SUM(G224:G226)</f>
        <v>0</v>
      </c>
      <c r="H223" s="236" t="e">
        <f>G223/D223</f>
        <v>#DIV/0!</v>
      </c>
      <c r="I223" s="216"/>
      <c r="J223" s="186"/>
    </row>
    <row r="224" spans="1:12" s="176" customFormat="1" x14ac:dyDescent="0.25">
      <c r="A224" s="182"/>
      <c r="B224" s="178"/>
      <c r="C224" s="193" t="s">
        <v>450</v>
      </c>
      <c r="D224" s="192">
        <v>0</v>
      </c>
      <c r="E224" s="192">
        <f>'Realisasi April'!G221</f>
        <v>0</v>
      </c>
      <c r="F224" s="192"/>
      <c r="G224" s="192">
        <f>E224+F224</f>
        <v>0</v>
      </c>
      <c r="H224" s="252" t="e">
        <f>G224/D224</f>
        <v>#DIV/0!</v>
      </c>
      <c r="I224" s="207"/>
      <c r="J224" s="175"/>
    </row>
    <row r="225" spans="1:11" s="176" customFormat="1" x14ac:dyDescent="0.25">
      <c r="A225" s="182"/>
      <c r="B225" s="178"/>
      <c r="C225" s="193" t="s">
        <v>451</v>
      </c>
      <c r="D225" s="192">
        <v>0</v>
      </c>
      <c r="E225" s="192">
        <f>'Realisasi April'!G222</f>
        <v>0</v>
      </c>
      <c r="F225" s="192"/>
      <c r="G225" s="192">
        <f>E225+F225</f>
        <v>0</v>
      </c>
      <c r="H225" s="252" t="e">
        <f>G225/D225</f>
        <v>#DIV/0!</v>
      </c>
      <c r="I225" s="207"/>
      <c r="J225" s="175"/>
    </row>
    <row r="226" spans="1:11" s="176" customFormat="1" x14ac:dyDescent="0.25">
      <c r="A226" s="182"/>
      <c r="B226" s="178"/>
      <c r="C226" s="193"/>
      <c r="D226" s="192"/>
      <c r="E226" s="192"/>
      <c r="F226" s="192"/>
      <c r="G226" s="192"/>
      <c r="H226" s="252"/>
      <c r="I226" s="207"/>
      <c r="J226" s="175"/>
    </row>
    <row r="227" spans="1:11" s="176" customFormat="1" x14ac:dyDescent="0.25">
      <c r="A227" s="182"/>
      <c r="B227" s="36"/>
      <c r="C227" s="37"/>
      <c r="D227" s="192"/>
      <c r="E227" s="192"/>
      <c r="F227" s="192"/>
      <c r="G227" s="191"/>
      <c r="H227" s="236"/>
      <c r="I227" s="222"/>
      <c r="J227" s="175"/>
    </row>
    <row r="228" spans="1:11" s="176" customFormat="1" ht="24.75" customHeight="1" x14ac:dyDescent="0.25">
      <c r="A228" s="126" t="s">
        <v>163</v>
      </c>
      <c r="B228" s="128" t="s">
        <v>164</v>
      </c>
      <c r="C228" s="41" t="s">
        <v>268</v>
      </c>
      <c r="D228" s="42">
        <f>SUM(D229+D419)</f>
        <v>884375671064</v>
      </c>
      <c r="E228" s="42">
        <f>SUM(E229+E419)</f>
        <v>237735593694</v>
      </c>
      <c r="F228" s="42">
        <f>SUM(F229+F419)</f>
        <v>52784347027</v>
      </c>
      <c r="G228" s="42">
        <f>SUM(G229+G419)</f>
        <v>290519940721</v>
      </c>
      <c r="H228" s="237">
        <f t="shared" ref="H228:H233" si="89">G228/D228</f>
        <v>0.32850286391469019</v>
      </c>
      <c r="I228" s="223"/>
      <c r="J228" s="175"/>
      <c r="K228" s="270"/>
    </row>
    <row r="229" spans="1:11" s="176" customFormat="1" x14ac:dyDescent="0.25">
      <c r="A229" s="134" t="s">
        <v>416</v>
      </c>
      <c r="B229" s="135" t="s">
        <v>350</v>
      </c>
      <c r="C229" s="136" t="s">
        <v>351</v>
      </c>
      <c r="D229" s="137">
        <f>SUM(D230+D412)</f>
        <v>768680341983</v>
      </c>
      <c r="E229" s="137">
        <f>SUM(E230+E412)</f>
        <v>209142915238</v>
      </c>
      <c r="F229" s="137">
        <f>SUM(F230+F412)</f>
        <v>43772294960</v>
      </c>
      <c r="G229" s="137">
        <f>SUM(G230+G412)</f>
        <v>252915210198</v>
      </c>
      <c r="H229" s="238">
        <f t="shared" si="89"/>
        <v>0.32902520902972882</v>
      </c>
      <c r="I229" s="223"/>
      <c r="J229" s="175"/>
    </row>
    <row r="230" spans="1:11" s="176" customFormat="1" x14ac:dyDescent="0.25">
      <c r="A230" s="123" t="s">
        <v>89</v>
      </c>
      <c r="B230" s="133" t="s">
        <v>352</v>
      </c>
      <c r="C230" s="124" t="s">
        <v>165</v>
      </c>
      <c r="D230" s="125">
        <f>SUM(D231+D296+D298+D367)</f>
        <v>768680341983</v>
      </c>
      <c r="E230" s="125">
        <f>SUM(E231+E296+E298+E367)</f>
        <v>209142915238</v>
      </c>
      <c r="F230" s="125">
        <f>SUM(F231+F296+F298+F367)</f>
        <v>43772294960</v>
      </c>
      <c r="G230" s="125">
        <f>SUM(G231+G296+G298+G367)</f>
        <v>252915210198</v>
      </c>
      <c r="H230" s="239">
        <f t="shared" si="89"/>
        <v>0.32902520902972882</v>
      </c>
      <c r="I230" s="223"/>
      <c r="J230" s="175"/>
      <c r="K230" s="270"/>
    </row>
    <row r="231" spans="1:11" s="176" customFormat="1" x14ac:dyDescent="0.25">
      <c r="A231" s="138" t="s">
        <v>166</v>
      </c>
      <c r="B231" s="139" t="s">
        <v>353</v>
      </c>
      <c r="C231" s="140" t="s">
        <v>354</v>
      </c>
      <c r="D231" s="141">
        <f>SUM(D232+D263+D267+D271+D275+D279+D283+D288+D291)</f>
        <v>154499794000</v>
      </c>
      <c r="E231" s="141">
        <f>SUM(E232+E263+E267+E271+E275+E279+E283+E288+E291)</f>
        <v>30916259100</v>
      </c>
      <c r="F231" s="141">
        <f>SUM(F232+F263+F267+F271+F275+F279+F283+F288+F291)</f>
        <v>22670716000</v>
      </c>
      <c r="G231" s="141">
        <f>G232+G263+G267+G271+G275+G279+G283+G291</f>
        <v>53586975100</v>
      </c>
      <c r="H231" s="240">
        <f t="shared" si="89"/>
        <v>0.34684172523880519</v>
      </c>
      <c r="I231" s="224"/>
      <c r="J231" s="175"/>
      <c r="K231" s="270"/>
    </row>
    <row r="232" spans="1:11" s="187" customFormat="1" x14ac:dyDescent="0.25">
      <c r="A232" s="184" t="s">
        <v>406</v>
      </c>
      <c r="B232" s="189" t="s">
        <v>355</v>
      </c>
      <c r="C232" s="185" t="s">
        <v>356</v>
      </c>
      <c r="D232" s="196">
        <f>D233+D243</f>
        <v>25228962000</v>
      </c>
      <c r="E232" s="196">
        <f t="shared" ref="E232:G232" si="90">E233+E243</f>
        <v>4914180500</v>
      </c>
      <c r="F232" s="196">
        <f t="shared" si="90"/>
        <v>0</v>
      </c>
      <c r="G232" s="196">
        <f t="shared" si="90"/>
        <v>4914180500</v>
      </c>
      <c r="H232" s="236">
        <f t="shared" si="89"/>
        <v>0.19478330103315389</v>
      </c>
      <c r="I232" s="225" t="s">
        <v>167</v>
      </c>
      <c r="J232" s="186"/>
    </row>
    <row r="233" spans="1:11" s="187" customFormat="1" x14ac:dyDescent="0.25">
      <c r="A233" s="184"/>
      <c r="B233" s="189"/>
      <c r="C233" s="185" t="s">
        <v>633</v>
      </c>
      <c r="D233" s="196">
        <v>25228962000</v>
      </c>
      <c r="E233" s="196">
        <f>SUM(E234:E242)</f>
        <v>4914180500</v>
      </c>
      <c r="F233" s="196">
        <f>SUM(F234:F242)</f>
        <v>0</v>
      </c>
      <c r="G233" s="196">
        <f>SUM(G234:G242)</f>
        <v>4914180500</v>
      </c>
      <c r="H233" s="236">
        <f t="shared" si="89"/>
        <v>0.19478330103315389</v>
      </c>
      <c r="I233" s="225"/>
      <c r="J233" s="186"/>
    </row>
    <row r="234" spans="1:11" s="187" customFormat="1" x14ac:dyDescent="0.25">
      <c r="A234" s="184"/>
      <c r="B234" s="190"/>
      <c r="C234" s="193" t="s">
        <v>453</v>
      </c>
      <c r="D234" s="181"/>
      <c r="E234" s="181">
        <f>'Realisasi April'!G231</f>
        <v>1082032500</v>
      </c>
      <c r="F234" s="181"/>
      <c r="G234" s="192">
        <f>E234+F234</f>
        <v>1082032500</v>
      </c>
      <c r="H234" s="24"/>
      <c r="I234" s="225"/>
      <c r="J234" s="186"/>
    </row>
    <row r="235" spans="1:11" s="187" customFormat="1" x14ac:dyDescent="0.25">
      <c r="A235" s="184"/>
      <c r="B235" s="190"/>
      <c r="C235" s="193" t="s">
        <v>454</v>
      </c>
      <c r="D235" s="181"/>
      <c r="E235" s="181">
        <f>'Realisasi April'!G232</f>
        <v>0</v>
      </c>
      <c r="F235" s="181"/>
      <c r="G235" s="192">
        <f t="shared" ref="G235:G242" si="91">E235+F235</f>
        <v>0</v>
      </c>
      <c r="H235" s="24"/>
      <c r="I235" s="225"/>
      <c r="J235" s="186"/>
    </row>
    <row r="236" spans="1:11" s="187" customFormat="1" x14ac:dyDescent="0.25">
      <c r="A236" s="184"/>
      <c r="B236" s="190"/>
      <c r="C236" s="193" t="s">
        <v>455</v>
      </c>
      <c r="D236" s="181"/>
      <c r="E236" s="181">
        <f>'Realisasi April'!G233</f>
        <v>0</v>
      </c>
      <c r="F236" s="181"/>
      <c r="G236" s="192">
        <f t="shared" si="91"/>
        <v>0</v>
      </c>
      <c r="H236" s="24"/>
      <c r="I236" s="225"/>
      <c r="J236" s="186"/>
    </row>
    <row r="237" spans="1:11" s="187" customFormat="1" x14ac:dyDescent="0.25">
      <c r="A237" s="184"/>
      <c r="B237" s="190"/>
      <c r="C237" s="193" t="s">
        <v>456</v>
      </c>
      <c r="D237" s="181"/>
      <c r="E237" s="181">
        <f>'Realisasi April'!G234</f>
        <v>3708530400</v>
      </c>
      <c r="F237" s="181"/>
      <c r="G237" s="192">
        <f t="shared" si="91"/>
        <v>3708530400</v>
      </c>
      <c r="H237" s="24"/>
      <c r="I237" s="225"/>
      <c r="J237" s="186"/>
    </row>
    <row r="238" spans="1:11" s="187" customFormat="1" x14ac:dyDescent="0.25">
      <c r="A238" s="184"/>
      <c r="B238" s="190"/>
      <c r="C238" s="193" t="s">
        <v>457</v>
      </c>
      <c r="D238" s="181"/>
      <c r="E238" s="181">
        <f>'Realisasi April'!G235</f>
        <v>0</v>
      </c>
      <c r="F238" s="181"/>
      <c r="G238" s="192">
        <f t="shared" si="91"/>
        <v>0</v>
      </c>
      <c r="H238" s="24"/>
      <c r="I238" s="225"/>
      <c r="J238" s="186"/>
    </row>
    <row r="239" spans="1:11" s="187" customFormat="1" x14ac:dyDescent="0.25">
      <c r="A239" s="184"/>
      <c r="B239" s="190"/>
      <c r="C239" s="193" t="s">
        <v>458</v>
      </c>
      <c r="D239" s="181"/>
      <c r="E239" s="181">
        <f>'Realisasi April'!G236</f>
        <v>0</v>
      </c>
      <c r="F239" s="181"/>
      <c r="G239" s="192">
        <f t="shared" si="91"/>
        <v>0</v>
      </c>
      <c r="H239" s="24"/>
      <c r="I239" s="225"/>
      <c r="J239" s="186"/>
    </row>
    <row r="240" spans="1:11" s="187" customFormat="1" x14ac:dyDescent="0.25">
      <c r="A240" s="184"/>
      <c r="B240" s="190"/>
      <c r="C240" s="193" t="s">
        <v>459</v>
      </c>
      <c r="D240" s="181"/>
      <c r="E240" s="181">
        <f>'Realisasi April'!G237</f>
        <v>0</v>
      </c>
      <c r="F240" s="181"/>
      <c r="G240" s="192">
        <f t="shared" si="91"/>
        <v>0</v>
      </c>
      <c r="H240" s="24"/>
      <c r="I240" s="225"/>
      <c r="J240" s="186"/>
    </row>
    <row r="241" spans="1:10" s="187" customFormat="1" x14ac:dyDescent="0.25">
      <c r="A241" s="184"/>
      <c r="B241" s="190"/>
      <c r="C241" s="193" t="s">
        <v>460</v>
      </c>
      <c r="D241" s="181"/>
      <c r="E241" s="181">
        <f>'Realisasi April'!G238</f>
        <v>123617600</v>
      </c>
      <c r="F241" s="181"/>
      <c r="G241" s="192">
        <f t="shared" si="91"/>
        <v>123617600</v>
      </c>
      <c r="H241" s="24"/>
      <c r="I241" s="225"/>
      <c r="J241" s="186"/>
    </row>
    <row r="242" spans="1:10" s="187" customFormat="1" x14ac:dyDescent="0.25">
      <c r="A242" s="184"/>
      <c r="B242" s="190"/>
      <c r="C242" s="193" t="s">
        <v>461</v>
      </c>
      <c r="D242" s="181"/>
      <c r="E242" s="181">
        <f>'Realisasi April'!G239</f>
        <v>0</v>
      </c>
      <c r="F242" s="181"/>
      <c r="G242" s="192">
        <f t="shared" si="91"/>
        <v>0</v>
      </c>
      <c r="H242" s="24"/>
      <c r="I242" s="225"/>
      <c r="J242" s="186"/>
    </row>
    <row r="243" spans="1:10" s="187" customFormat="1" x14ac:dyDescent="0.25">
      <c r="A243" s="184"/>
      <c r="B243" s="190"/>
      <c r="C243" s="35" t="s">
        <v>519</v>
      </c>
      <c r="D243" s="196">
        <f>SUM(D244:D261)</f>
        <v>0</v>
      </c>
      <c r="E243" s="196">
        <f t="shared" ref="E243:G243" si="92">SUM(E244:E261)</f>
        <v>0</v>
      </c>
      <c r="F243" s="196">
        <f t="shared" si="92"/>
        <v>0</v>
      </c>
      <c r="G243" s="196">
        <f t="shared" si="92"/>
        <v>0</v>
      </c>
      <c r="H243" s="236" t="e">
        <f t="shared" ref="H243:H261" si="93">G243/D243</f>
        <v>#DIV/0!</v>
      </c>
      <c r="I243" s="225"/>
      <c r="J243" s="186"/>
    </row>
    <row r="244" spans="1:10" s="187" customFormat="1" x14ac:dyDescent="0.25">
      <c r="A244" s="184"/>
      <c r="B244" s="190"/>
      <c r="C244" s="193" t="s">
        <v>521</v>
      </c>
      <c r="D244" s="181"/>
      <c r="E244" s="181"/>
      <c r="F244" s="181"/>
      <c r="G244" s="192">
        <f>E244+F244</f>
        <v>0</v>
      </c>
      <c r="H244" s="24" t="e">
        <f t="shared" si="93"/>
        <v>#DIV/0!</v>
      </c>
      <c r="I244" s="225"/>
      <c r="J244" s="186"/>
    </row>
    <row r="245" spans="1:10" s="187" customFormat="1" x14ac:dyDescent="0.25">
      <c r="A245" s="184"/>
      <c r="B245" s="190"/>
      <c r="C245" s="193" t="s">
        <v>520</v>
      </c>
      <c r="D245" s="181"/>
      <c r="E245" s="181"/>
      <c r="F245" s="181"/>
      <c r="G245" s="192">
        <f t="shared" ref="G245:G261" si="94">E245+F245</f>
        <v>0</v>
      </c>
      <c r="H245" s="24" t="e">
        <f t="shared" si="93"/>
        <v>#DIV/0!</v>
      </c>
      <c r="I245" s="225"/>
      <c r="J245" s="186"/>
    </row>
    <row r="246" spans="1:10" s="187" customFormat="1" x14ac:dyDescent="0.25">
      <c r="A246" s="184"/>
      <c r="B246" s="190"/>
      <c r="C246" s="193" t="s">
        <v>522</v>
      </c>
      <c r="D246" s="181"/>
      <c r="E246" s="181"/>
      <c r="F246" s="181"/>
      <c r="G246" s="192">
        <f t="shared" si="94"/>
        <v>0</v>
      </c>
      <c r="H246" s="24" t="e">
        <f t="shared" si="93"/>
        <v>#DIV/0!</v>
      </c>
      <c r="I246" s="225"/>
      <c r="J246" s="186"/>
    </row>
    <row r="247" spans="1:10" s="187" customFormat="1" x14ac:dyDescent="0.25">
      <c r="A247" s="184"/>
      <c r="B247" s="190"/>
      <c r="C247" s="193" t="s">
        <v>523</v>
      </c>
      <c r="D247" s="181"/>
      <c r="E247" s="181"/>
      <c r="F247" s="181"/>
      <c r="G247" s="192">
        <f t="shared" si="94"/>
        <v>0</v>
      </c>
      <c r="H247" s="24" t="e">
        <f t="shared" si="93"/>
        <v>#DIV/0!</v>
      </c>
      <c r="I247" s="225"/>
      <c r="J247" s="186"/>
    </row>
    <row r="248" spans="1:10" s="187" customFormat="1" x14ac:dyDescent="0.25">
      <c r="A248" s="184"/>
      <c r="B248" s="190"/>
      <c r="C248" s="193" t="s">
        <v>524</v>
      </c>
      <c r="D248" s="181"/>
      <c r="E248" s="181"/>
      <c r="F248" s="181"/>
      <c r="G248" s="192">
        <f t="shared" si="94"/>
        <v>0</v>
      </c>
      <c r="H248" s="24" t="e">
        <f t="shared" si="93"/>
        <v>#DIV/0!</v>
      </c>
      <c r="I248" s="225"/>
      <c r="J248" s="186"/>
    </row>
    <row r="249" spans="1:10" s="187" customFormat="1" x14ac:dyDescent="0.25">
      <c r="A249" s="184"/>
      <c r="B249" s="190"/>
      <c r="C249" s="193" t="s">
        <v>525</v>
      </c>
      <c r="D249" s="181"/>
      <c r="E249" s="181"/>
      <c r="F249" s="181"/>
      <c r="G249" s="192">
        <f t="shared" si="94"/>
        <v>0</v>
      </c>
      <c r="H249" s="24" t="e">
        <f t="shared" si="93"/>
        <v>#DIV/0!</v>
      </c>
      <c r="I249" s="225"/>
      <c r="J249" s="186"/>
    </row>
    <row r="250" spans="1:10" s="187" customFormat="1" x14ac:dyDescent="0.25">
      <c r="A250" s="184"/>
      <c r="B250" s="190"/>
      <c r="C250" s="193" t="s">
        <v>526</v>
      </c>
      <c r="D250" s="181"/>
      <c r="E250" s="181"/>
      <c r="F250" s="181"/>
      <c r="G250" s="192">
        <f t="shared" si="94"/>
        <v>0</v>
      </c>
      <c r="H250" s="24" t="e">
        <f t="shared" si="93"/>
        <v>#DIV/0!</v>
      </c>
      <c r="I250" s="225"/>
      <c r="J250" s="186"/>
    </row>
    <row r="251" spans="1:10" s="187" customFormat="1" x14ac:dyDescent="0.25">
      <c r="A251" s="184"/>
      <c r="B251" s="190"/>
      <c r="C251" s="193" t="s">
        <v>527</v>
      </c>
      <c r="D251" s="181"/>
      <c r="E251" s="181"/>
      <c r="F251" s="181"/>
      <c r="G251" s="192">
        <f t="shared" si="94"/>
        <v>0</v>
      </c>
      <c r="H251" s="24" t="e">
        <f t="shared" si="93"/>
        <v>#DIV/0!</v>
      </c>
      <c r="I251" s="225"/>
      <c r="J251" s="186"/>
    </row>
    <row r="252" spans="1:10" s="187" customFormat="1" x14ac:dyDescent="0.25">
      <c r="A252" s="184"/>
      <c r="B252" s="190"/>
      <c r="C252" s="193" t="s">
        <v>528</v>
      </c>
      <c r="D252" s="181"/>
      <c r="E252" s="181"/>
      <c r="F252" s="181"/>
      <c r="G252" s="192">
        <f t="shared" si="94"/>
        <v>0</v>
      </c>
      <c r="H252" s="24" t="e">
        <f t="shared" si="93"/>
        <v>#DIV/0!</v>
      </c>
      <c r="I252" s="225"/>
      <c r="J252" s="186"/>
    </row>
    <row r="253" spans="1:10" s="187" customFormat="1" x14ac:dyDescent="0.25">
      <c r="A253" s="184"/>
      <c r="B253" s="190"/>
      <c r="C253" s="193" t="s">
        <v>567</v>
      </c>
      <c r="D253" s="181"/>
      <c r="E253" s="181"/>
      <c r="F253" s="181"/>
      <c r="G253" s="192">
        <f t="shared" si="94"/>
        <v>0</v>
      </c>
      <c r="H253" s="24" t="e">
        <f t="shared" si="93"/>
        <v>#DIV/0!</v>
      </c>
      <c r="I253" s="225"/>
      <c r="J253" s="186"/>
    </row>
    <row r="254" spans="1:10" s="187" customFormat="1" x14ac:dyDescent="0.25">
      <c r="A254" s="184"/>
      <c r="B254" s="190"/>
      <c r="C254" s="193" t="s">
        <v>568</v>
      </c>
      <c r="D254" s="181"/>
      <c r="E254" s="181"/>
      <c r="F254" s="181"/>
      <c r="G254" s="192">
        <f t="shared" si="94"/>
        <v>0</v>
      </c>
      <c r="H254" s="24" t="e">
        <f t="shared" si="93"/>
        <v>#DIV/0!</v>
      </c>
      <c r="I254" s="225"/>
      <c r="J254" s="186"/>
    </row>
    <row r="255" spans="1:10" s="187" customFormat="1" x14ac:dyDescent="0.25">
      <c r="A255" s="184"/>
      <c r="B255" s="190"/>
      <c r="C255" s="193" t="s">
        <v>569</v>
      </c>
      <c r="D255" s="181"/>
      <c r="E255" s="181"/>
      <c r="F255" s="181"/>
      <c r="G255" s="192">
        <f t="shared" si="94"/>
        <v>0</v>
      </c>
      <c r="H255" s="24" t="e">
        <f t="shared" si="93"/>
        <v>#DIV/0!</v>
      </c>
      <c r="I255" s="225"/>
      <c r="J255" s="186"/>
    </row>
    <row r="256" spans="1:10" s="187" customFormat="1" x14ac:dyDescent="0.25">
      <c r="A256" s="184"/>
      <c r="B256" s="190"/>
      <c r="C256" s="193" t="s">
        <v>570</v>
      </c>
      <c r="D256" s="181"/>
      <c r="E256" s="181"/>
      <c r="F256" s="181"/>
      <c r="G256" s="192">
        <f t="shared" si="94"/>
        <v>0</v>
      </c>
      <c r="H256" s="24" t="e">
        <f t="shared" si="93"/>
        <v>#DIV/0!</v>
      </c>
      <c r="I256" s="225"/>
      <c r="J256" s="186"/>
    </row>
    <row r="257" spans="1:10" s="187" customFormat="1" x14ac:dyDescent="0.25">
      <c r="A257" s="184"/>
      <c r="B257" s="190"/>
      <c r="C257" s="193" t="s">
        <v>571</v>
      </c>
      <c r="D257" s="181"/>
      <c r="E257" s="181"/>
      <c r="F257" s="181"/>
      <c r="G257" s="192">
        <f t="shared" si="94"/>
        <v>0</v>
      </c>
      <c r="H257" s="24" t="e">
        <f t="shared" si="93"/>
        <v>#DIV/0!</v>
      </c>
      <c r="I257" s="225"/>
      <c r="J257" s="186"/>
    </row>
    <row r="258" spans="1:10" s="187" customFormat="1" x14ac:dyDescent="0.25">
      <c r="A258" s="184"/>
      <c r="B258" s="190"/>
      <c r="C258" s="193" t="s">
        <v>572</v>
      </c>
      <c r="D258" s="181"/>
      <c r="E258" s="181"/>
      <c r="F258" s="181"/>
      <c r="G258" s="192">
        <f t="shared" si="94"/>
        <v>0</v>
      </c>
      <c r="H258" s="24" t="e">
        <f t="shared" si="93"/>
        <v>#DIV/0!</v>
      </c>
      <c r="I258" s="225"/>
      <c r="J258" s="186"/>
    </row>
    <row r="259" spans="1:10" s="187" customFormat="1" x14ac:dyDescent="0.25">
      <c r="A259" s="184"/>
      <c r="B259" s="190"/>
      <c r="C259" s="193" t="s">
        <v>573</v>
      </c>
      <c r="D259" s="181"/>
      <c r="E259" s="181"/>
      <c r="F259" s="181"/>
      <c r="G259" s="192">
        <f t="shared" si="94"/>
        <v>0</v>
      </c>
      <c r="H259" s="24" t="e">
        <f t="shared" si="93"/>
        <v>#DIV/0!</v>
      </c>
      <c r="I259" s="225"/>
      <c r="J259" s="186"/>
    </row>
    <row r="260" spans="1:10" s="187" customFormat="1" x14ac:dyDescent="0.25">
      <c r="A260" s="184"/>
      <c r="B260" s="190"/>
      <c r="C260" s="193" t="s">
        <v>574</v>
      </c>
      <c r="D260" s="181"/>
      <c r="E260" s="181"/>
      <c r="F260" s="181"/>
      <c r="G260" s="192">
        <f t="shared" si="94"/>
        <v>0</v>
      </c>
      <c r="H260" s="24" t="e">
        <f t="shared" si="93"/>
        <v>#DIV/0!</v>
      </c>
      <c r="I260" s="225"/>
      <c r="J260" s="186"/>
    </row>
    <row r="261" spans="1:10" s="187" customFormat="1" x14ac:dyDescent="0.25">
      <c r="A261" s="184"/>
      <c r="B261" s="190"/>
      <c r="C261" s="193" t="s">
        <v>575</v>
      </c>
      <c r="D261" s="181"/>
      <c r="E261" s="181"/>
      <c r="F261" s="181"/>
      <c r="G261" s="192">
        <f t="shared" si="94"/>
        <v>0</v>
      </c>
      <c r="H261" s="24" t="e">
        <f t="shared" si="93"/>
        <v>#DIV/0!</v>
      </c>
      <c r="I261" s="225"/>
      <c r="J261" s="186"/>
    </row>
    <row r="262" spans="1:10" s="187" customFormat="1" x14ac:dyDescent="0.25">
      <c r="A262" s="184"/>
      <c r="B262" s="190"/>
      <c r="C262" s="183"/>
      <c r="D262" s="181"/>
      <c r="E262" s="181"/>
      <c r="F262" s="181"/>
      <c r="G262" s="192"/>
      <c r="H262" s="24"/>
      <c r="I262" s="225"/>
      <c r="J262" s="186"/>
    </row>
    <row r="263" spans="1:10" s="187" customFormat="1" x14ac:dyDescent="0.25">
      <c r="A263" s="184" t="s">
        <v>407</v>
      </c>
      <c r="B263" s="189" t="s">
        <v>357</v>
      </c>
      <c r="C263" s="185" t="s">
        <v>358</v>
      </c>
      <c r="D263" s="191">
        <v>25657034000</v>
      </c>
      <c r="E263" s="191">
        <f>SUM(E264:E265)</f>
        <v>5131406800</v>
      </c>
      <c r="F263" s="191">
        <f t="shared" ref="F263:G263" si="95">SUM(F264:F265)</f>
        <v>0</v>
      </c>
      <c r="G263" s="191">
        <f t="shared" si="95"/>
        <v>5131406800</v>
      </c>
      <c r="H263" s="236">
        <f>G263/D263</f>
        <v>0.2</v>
      </c>
      <c r="I263" s="225" t="s">
        <v>167</v>
      </c>
      <c r="J263" s="186"/>
    </row>
    <row r="264" spans="1:10" s="187" customFormat="1" x14ac:dyDescent="0.25">
      <c r="A264" s="184"/>
      <c r="B264" s="190"/>
      <c r="C264" s="193" t="s">
        <v>650</v>
      </c>
      <c r="D264" s="192"/>
      <c r="E264" s="192">
        <f>'Realisasi April'!G261</f>
        <v>5131406800</v>
      </c>
      <c r="F264" s="192"/>
      <c r="G264" s="192">
        <f>E264+F264</f>
        <v>5131406800</v>
      </c>
      <c r="H264" s="24" t="e">
        <f>G264/D264</f>
        <v>#DIV/0!</v>
      </c>
      <c r="I264" s="225"/>
      <c r="J264" s="186"/>
    </row>
    <row r="265" spans="1:10" s="187" customFormat="1" x14ac:dyDescent="0.25">
      <c r="A265" s="184"/>
      <c r="B265" s="190"/>
      <c r="C265" s="193" t="s">
        <v>651</v>
      </c>
      <c r="D265" s="192"/>
      <c r="E265" s="192">
        <f>'Realisasi April'!G262</f>
        <v>0</v>
      </c>
      <c r="F265" s="192"/>
      <c r="G265" s="192">
        <f t="shared" ref="G265" si="96">E265+F265</f>
        <v>0</v>
      </c>
      <c r="H265" s="24" t="e">
        <f>G265/D265</f>
        <v>#DIV/0!</v>
      </c>
      <c r="I265" s="225"/>
      <c r="J265" s="186"/>
    </row>
    <row r="266" spans="1:10" s="187" customFormat="1" x14ac:dyDescent="0.25">
      <c r="A266" s="184"/>
      <c r="B266" s="190"/>
      <c r="C266" s="183"/>
      <c r="D266" s="192"/>
      <c r="E266" s="192"/>
      <c r="F266" s="192"/>
      <c r="G266" s="192"/>
      <c r="H266" s="24"/>
      <c r="I266" s="225"/>
      <c r="J266" s="186"/>
    </row>
    <row r="267" spans="1:10" s="187" customFormat="1" x14ac:dyDescent="0.25">
      <c r="A267" s="184" t="s">
        <v>408</v>
      </c>
      <c r="B267" s="189" t="s">
        <v>359</v>
      </c>
      <c r="C267" s="185" t="s">
        <v>360</v>
      </c>
      <c r="D267" s="191">
        <v>1111004000</v>
      </c>
      <c r="E267" s="191">
        <f>SUM(E268:E269)</f>
        <v>222200800</v>
      </c>
      <c r="F267" s="191">
        <f>SUM(F268:F269)</f>
        <v>0</v>
      </c>
      <c r="G267" s="191">
        <f>SUM(G268:G269)</f>
        <v>222200800</v>
      </c>
      <c r="H267" s="236">
        <f>G267/D267</f>
        <v>0.2</v>
      </c>
      <c r="I267" s="225" t="s">
        <v>167</v>
      </c>
      <c r="J267" s="186"/>
    </row>
    <row r="268" spans="1:10" s="187" customFormat="1" x14ac:dyDescent="0.25">
      <c r="A268" s="184"/>
      <c r="B268" s="190"/>
      <c r="C268" s="193" t="s">
        <v>652</v>
      </c>
      <c r="D268" s="192"/>
      <c r="E268" s="192">
        <f>'Realisasi April'!G265</f>
        <v>222200800</v>
      </c>
      <c r="F268" s="192"/>
      <c r="G268" s="192">
        <f>E268+F268</f>
        <v>222200800</v>
      </c>
      <c r="H268" s="24" t="e">
        <f>G268/D268</f>
        <v>#DIV/0!</v>
      </c>
      <c r="I268" s="225"/>
      <c r="J268" s="186"/>
    </row>
    <row r="269" spans="1:10" s="187" customFormat="1" x14ac:dyDescent="0.25">
      <c r="A269" s="184"/>
      <c r="B269" s="190"/>
      <c r="C269" s="193" t="s">
        <v>653</v>
      </c>
      <c r="D269" s="192"/>
      <c r="E269" s="192">
        <f>'Realisasi April'!G266</f>
        <v>0</v>
      </c>
      <c r="F269" s="192"/>
      <c r="G269" s="192">
        <f t="shared" ref="G269" si="97">E269+F269</f>
        <v>0</v>
      </c>
      <c r="H269" s="24" t="e">
        <f>G269/D269</f>
        <v>#DIV/0!</v>
      </c>
      <c r="I269" s="225"/>
      <c r="J269" s="186"/>
    </row>
    <row r="270" spans="1:10" s="187" customFormat="1" x14ac:dyDescent="0.25">
      <c r="A270" s="184"/>
      <c r="B270" s="190"/>
      <c r="C270" s="183"/>
      <c r="D270" s="192"/>
      <c r="E270" s="192"/>
      <c r="F270" s="192"/>
      <c r="G270" s="192"/>
      <c r="H270" s="24"/>
      <c r="I270" s="225"/>
      <c r="J270" s="186"/>
    </row>
    <row r="271" spans="1:10" s="187" customFormat="1" x14ac:dyDescent="0.25">
      <c r="A271" s="184" t="s">
        <v>409</v>
      </c>
      <c r="B271" s="189" t="s">
        <v>405</v>
      </c>
      <c r="C271" s="185" t="s">
        <v>361</v>
      </c>
      <c r="D271" s="191">
        <v>90682864000</v>
      </c>
      <c r="E271" s="191">
        <f>SUM(E272:E273)</f>
        <v>17367192400</v>
      </c>
      <c r="F271" s="191">
        <f>SUM(F272:F273)</f>
        <v>21708990500</v>
      </c>
      <c r="G271" s="191">
        <f>SUM(G272:G273)</f>
        <v>39076182900</v>
      </c>
      <c r="H271" s="236">
        <f>G271/D271</f>
        <v>0.43091033053389227</v>
      </c>
      <c r="I271" s="225" t="s">
        <v>167</v>
      </c>
      <c r="J271" s="186"/>
    </row>
    <row r="272" spans="1:10" s="187" customFormat="1" x14ac:dyDescent="0.25">
      <c r="A272" s="184"/>
      <c r="B272" s="190"/>
      <c r="C272" s="193" t="s">
        <v>654</v>
      </c>
      <c r="D272" s="192"/>
      <c r="E272" s="192">
        <f>'Realisasi April'!G269</f>
        <v>17367192400</v>
      </c>
      <c r="F272" s="192">
        <f>21008700500+700290000</f>
        <v>21708990500</v>
      </c>
      <c r="G272" s="192">
        <f>E272+F272</f>
        <v>39076182900</v>
      </c>
      <c r="H272" s="24" t="e">
        <f>G272/D272</f>
        <v>#DIV/0!</v>
      </c>
      <c r="I272" s="225"/>
      <c r="J272" s="186"/>
    </row>
    <row r="273" spans="1:10" s="187" customFormat="1" x14ac:dyDescent="0.25">
      <c r="A273" s="184"/>
      <c r="B273" s="190"/>
      <c r="C273" s="193" t="s">
        <v>655</v>
      </c>
      <c r="D273" s="192"/>
      <c r="E273" s="192">
        <f>'Realisasi April'!G270</f>
        <v>0</v>
      </c>
      <c r="F273" s="192"/>
      <c r="G273" s="192">
        <f t="shared" ref="G273" si="98">E273+F273</f>
        <v>0</v>
      </c>
      <c r="H273" s="24" t="e">
        <f>G273/D273</f>
        <v>#DIV/0!</v>
      </c>
      <c r="I273" s="225"/>
      <c r="J273" s="186"/>
    </row>
    <row r="274" spans="1:10" s="187" customFormat="1" x14ac:dyDescent="0.25">
      <c r="A274" s="184"/>
      <c r="B274" s="190"/>
      <c r="C274" s="193"/>
      <c r="D274" s="192"/>
      <c r="E274" s="192"/>
      <c r="F274" s="192"/>
      <c r="G274" s="192"/>
      <c r="H274" s="24"/>
      <c r="I274" s="225"/>
      <c r="J274" s="186"/>
    </row>
    <row r="275" spans="1:10" s="187" customFormat="1" x14ac:dyDescent="0.25">
      <c r="A275" s="188" t="s">
        <v>410</v>
      </c>
      <c r="B275" s="189" t="s">
        <v>462</v>
      </c>
      <c r="C275" s="185" t="s">
        <v>463</v>
      </c>
      <c r="D275" s="191">
        <f>SUM(D276:D277)</f>
        <v>0</v>
      </c>
      <c r="E275" s="191">
        <f>SUM(E276:E277)</f>
        <v>769380400</v>
      </c>
      <c r="F275" s="191">
        <f>SUM(F276:F277)</f>
        <v>961725500</v>
      </c>
      <c r="G275" s="191">
        <f t="shared" ref="G275" si="99">SUM(G276:G277)</f>
        <v>1731105900</v>
      </c>
      <c r="H275" s="236" t="e">
        <f>G275/D275</f>
        <v>#DIV/0!</v>
      </c>
      <c r="I275" s="225"/>
      <c r="J275" s="186"/>
    </row>
    <row r="276" spans="1:10" s="187" customFormat="1" x14ac:dyDescent="0.25">
      <c r="A276" s="188"/>
      <c r="B276" s="190"/>
      <c r="C276" s="193" t="s">
        <v>656</v>
      </c>
      <c r="D276" s="192">
        <v>0</v>
      </c>
      <c r="E276" s="192">
        <f>'Realisasi April'!G273</f>
        <v>769380400</v>
      </c>
      <c r="F276" s="192">
        <f>945959500+15766000</f>
        <v>961725500</v>
      </c>
      <c r="G276" s="192">
        <f>E276+F276</f>
        <v>1731105900</v>
      </c>
      <c r="H276" s="24" t="e">
        <f>G276/D276</f>
        <v>#DIV/0!</v>
      </c>
      <c r="I276" s="225"/>
      <c r="J276" s="186"/>
    </row>
    <row r="277" spans="1:10" s="187" customFormat="1" x14ac:dyDescent="0.25">
      <c r="A277" s="188"/>
      <c r="B277" s="190"/>
      <c r="C277" s="193" t="s">
        <v>657</v>
      </c>
      <c r="D277" s="192"/>
      <c r="E277" s="192">
        <f>'Realisasi April'!G274</f>
        <v>0</v>
      </c>
      <c r="F277" s="192"/>
      <c r="G277" s="192">
        <f>E277+F277</f>
        <v>0</v>
      </c>
      <c r="H277" s="24" t="e">
        <f>G277/D277</f>
        <v>#DIV/0!</v>
      </c>
      <c r="I277" s="225"/>
      <c r="J277" s="186"/>
    </row>
    <row r="278" spans="1:10" s="187" customFormat="1" x14ac:dyDescent="0.25">
      <c r="A278" s="188"/>
      <c r="B278" s="190"/>
      <c r="C278" s="193"/>
      <c r="D278" s="192"/>
      <c r="E278" s="192"/>
      <c r="F278" s="192"/>
      <c r="G278" s="192"/>
      <c r="H278" s="24"/>
      <c r="I278" s="225"/>
      <c r="J278" s="186"/>
    </row>
    <row r="279" spans="1:10" s="187" customFormat="1" x14ac:dyDescent="0.25">
      <c r="A279" s="188" t="s">
        <v>411</v>
      </c>
      <c r="B279" s="189" t="s">
        <v>362</v>
      </c>
      <c r="C279" s="185" t="s">
        <v>363</v>
      </c>
      <c r="D279" s="191">
        <v>1503616000</v>
      </c>
      <c r="E279" s="191">
        <f>SUM(E280:E281)</f>
        <v>676627200</v>
      </c>
      <c r="F279" s="191">
        <f t="shared" ref="F279:G279" si="100">SUM(F280:F281)</f>
        <v>0</v>
      </c>
      <c r="G279" s="191">
        <f t="shared" si="100"/>
        <v>676627200</v>
      </c>
      <c r="H279" s="236">
        <f>G279/D279</f>
        <v>0.45</v>
      </c>
      <c r="I279" s="225" t="s">
        <v>167</v>
      </c>
      <c r="J279" s="186"/>
    </row>
    <row r="280" spans="1:10" s="187" customFormat="1" x14ac:dyDescent="0.25">
      <c r="A280" s="188"/>
      <c r="B280" s="190"/>
      <c r="C280" s="193" t="s">
        <v>658</v>
      </c>
      <c r="D280" s="192"/>
      <c r="E280" s="192">
        <f>'Realisasi April'!G277</f>
        <v>676627200</v>
      </c>
      <c r="F280" s="192"/>
      <c r="G280" s="192">
        <f>E280+F280</f>
        <v>676627200</v>
      </c>
      <c r="H280" s="24" t="e">
        <f>G280/D280</f>
        <v>#DIV/0!</v>
      </c>
      <c r="I280" s="225"/>
      <c r="J280" s="186"/>
    </row>
    <row r="281" spans="1:10" s="187" customFormat="1" x14ac:dyDescent="0.25">
      <c r="A281" s="188"/>
      <c r="B281" s="190"/>
      <c r="C281" s="193" t="s">
        <v>659</v>
      </c>
      <c r="D281" s="192"/>
      <c r="E281" s="192">
        <f>'Realisasi April'!G278</f>
        <v>0</v>
      </c>
      <c r="F281" s="192"/>
      <c r="G281" s="192">
        <f>E281+F281</f>
        <v>0</v>
      </c>
      <c r="H281" s="24" t="e">
        <f>G281/D281</f>
        <v>#DIV/0!</v>
      </c>
      <c r="I281" s="225"/>
      <c r="J281" s="186"/>
    </row>
    <row r="282" spans="1:10" s="187" customFormat="1" x14ac:dyDescent="0.25">
      <c r="A282" s="188"/>
      <c r="B282" s="190"/>
      <c r="C282" s="193"/>
      <c r="D282" s="192"/>
      <c r="E282" s="192"/>
      <c r="F282" s="192"/>
      <c r="G282" s="192">
        <f t="shared" ref="G282" si="101">F282</f>
        <v>0</v>
      </c>
      <c r="H282" s="24"/>
      <c r="I282" s="225"/>
      <c r="J282" s="186"/>
    </row>
    <row r="283" spans="1:10" s="187" customFormat="1" x14ac:dyDescent="0.25">
      <c r="A283" s="188" t="s">
        <v>412</v>
      </c>
      <c r="B283" s="189" t="s">
        <v>364</v>
      </c>
      <c r="C283" s="185" t="s">
        <v>365</v>
      </c>
      <c r="D283" s="191">
        <v>8397488000</v>
      </c>
      <c r="E283" s="191">
        <f>E284+E285</f>
        <v>1259623200</v>
      </c>
      <c r="F283" s="191">
        <f t="shared" ref="F283:G283" si="102">F284+F285</f>
        <v>0</v>
      </c>
      <c r="G283" s="191">
        <f t="shared" si="102"/>
        <v>1259623200</v>
      </c>
      <c r="H283" s="236">
        <f>G283/D283</f>
        <v>0.15</v>
      </c>
      <c r="I283" s="225" t="s">
        <v>167</v>
      </c>
      <c r="J283" s="186"/>
    </row>
    <row r="284" spans="1:10" s="187" customFormat="1" x14ac:dyDescent="0.25">
      <c r="A284" s="188"/>
      <c r="B284" s="190"/>
      <c r="C284" s="193" t="s">
        <v>660</v>
      </c>
      <c r="D284" s="192"/>
      <c r="E284" s="192">
        <f>'Realisasi April'!G281</f>
        <v>1259623200</v>
      </c>
      <c r="F284" s="192"/>
      <c r="G284" s="192">
        <f>E284+F284</f>
        <v>1259623200</v>
      </c>
      <c r="H284" s="24" t="e">
        <f>G284/D284</f>
        <v>#DIV/0!</v>
      </c>
      <c r="I284" s="225"/>
      <c r="J284" s="186"/>
    </row>
    <row r="285" spans="1:10" s="187" customFormat="1" x14ac:dyDescent="0.25">
      <c r="A285" s="188"/>
      <c r="B285" s="190"/>
      <c r="C285" s="35" t="s">
        <v>529</v>
      </c>
      <c r="D285" s="191">
        <f>SUM(D286:D286)</f>
        <v>0</v>
      </c>
      <c r="E285" s="191"/>
      <c r="F285" s="191">
        <f>SUM(F286:F286)</f>
        <v>0</v>
      </c>
      <c r="G285" s="192">
        <f t="shared" ref="G285:G286" si="103">E285+F285</f>
        <v>0</v>
      </c>
      <c r="H285" s="236" t="e">
        <f>G285/D285</f>
        <v>#DIV/0!</v>
      </c>
      <c r="I285" s="225"/>
      <c r="J285" s="186"/>
    </row>
    <row r="286" spans="1:10" s="187" customFormat="1" x14ac:dyDescent="0.25">
      <c r="A286" s="188"/>
      <c r="B286" s="190"/>
      <c r="C286" s="193" t="s">
        <v>661</v>
      </c>
      <c r="D286" s="192"/>
      <c r="E286" s="192">
        <f>'Realisasi April'!G283</f>
        <v>0</v>
      </c>
      <c r="F286" s="192"/>
      <c r="G286" s="192">
        <f t="shared" si="103"/>
        <v>0</v>
      </c>
      <c r="H286" s="24" t="e">
        <f>G286/D286</f>
        <v>#DIV/0!</v>
      </c>
      <c r="I286" s="225"/>
      <c r="J286" s="186"/>
    </row>
    <row r="287" spans="1:10" s="187" customFormat="1" x14ac:dyDescent="0.25">
      <c r="A287" s="188"/>
      <c r="B287" s="190"/>
      <c r="C287" s="193"/>
      <c r="D287" s="192"/>
      <c r="E287" s="192"/>
      <c r="F287" s="192"/>
      <c r="G287" s="192"/>
      <c r="H287" s="24"/>
      <c r="I287" s="225"/>
      <c r="J287" s="186"/>
    </row>
    <row r="288" spans="1:10" s="187" customFormat="1" hidden="1" x14ac:dyDescent="0.25">
      <c r="A288" s="188" t="s">
        <v>464</v>
      </c>
      <c r="B288" s="189" t="s">
        <v>466</v>
      </c>
      <c r="C288" s="185" t="s">
        <v>467</v>
      </c>
      <c r="D288" s="191">
        <f>SUM(D289)</f>
        <v>0</v>
      </c>
      <c r="E288" s="191"/>
      <c r="F288" s="191">
        <f t="shared" ref="F288:G288" si="104">SUM(F289:F290)</f>
        <v>0</v>
      </c>
      <c r="G288" s="191" t="e">
        <f t="shared" si="104"/>
        <v>#REF!</v>
      </c>
      <c r="H288" s="24"/>
      <c r="I288" s="225"/>
      <c r="J288" s="186"/>
    </row>
    <row r="289" spans="1:10" s="187" customFormat="1" hidden="1" x14ac:dyDescent="0.25">
      <c r="A289" s="188"/>
      <c r="B289" s="190"/>
      <c r="C289" s="193" t="s">
        <v>487</v>
      </c>
      <c r="D289" s="192">
        <v>0</v>
      </c>
      <c r="E289" s="192"/>
      <c r="F289" s="192">
        <v>0</v>
      </c>
      <c r="G289" s="192" t="e">
        <f>#REF!+F289</f>
        <v>#REF!</v>
      </c>
      <c r="H289" s="24"/>
      <c r="I289" s="225"/>
      <c r="J289" s="186"/>
    </row>
    <row r="290" spans="1:10" s="187" customFormat="1" hidden="1" x14ac:dyDescent="0.25">
      <c r="A290" s="188"/>
      <c r="B290" s="190"/>
      <c r="C290" s="193"/>
      <c r="D290" s="192"/>
      <c r="E290" s="192"/>
      <c r="F290" s="192"/>
      <c r="G290" s="192"/>
      <c r="H290" s="24"/>
      <c r="I290" s="225"/>
      <c r="J290" s="186"/>
    </row>
    <row r="291" spans="1:10" s="187" customFormat="1" x14ac:dyDescent="0.25">
      <c r="A291" s="188" t="s">
        <v>465</v>
      </c>
      <c r="B291" s="189" t="s">
        <v>366</v>
      </c>
      <c r="C291" s="185" t="s">
        <v>367</v>
      </c>
      <c r="D291" s="191">
        <v>1918826000</v>
      </c>
      <c r="E291" s="191">
        <f>E292</f>
        <v>575647800</v>
      </c>
      <c r="F291" s="191">
        <f t="shared" ref="F291:G291" si="105">F292+F293</f>
        <v>0</v>
      </c>
      <c r="G291" s="191">
        <f t="shared" si="105"/>
        <v>575647800</v>
      </c>
      <c r="H291" s="236">
        <f>G291/D291</f>
        <v>0.3</v>
      </c>
      <c r="I291" s="225" t="s">
        <v>167</v>
      </c>
      <c r="J291" s="186"/>
    </row>
    <row r="292" spans="1:10" s="187" customFormat="1" x14ac:dyDescent="0.25">
      <c r="A292" s="188"/>
      <c r="B292" s="190"/>
      <c r="C292" s="193" t="s">
        <v>662</v>
      </c>
      <c r="D292" s="192"/>
      <c r="E292" s="192">
        <f>'Realisasi April'!G289</f>
        <v>575647800</v>
      </c>
      <c r="F292" s="192"/>
      <c r="G292" s="192">
        <f>E292+F292</f>
        <v>575647800</v>
      </c>
      <c r="H292" s="24" t="e">
        <f>G292/D292</f>
        <v>#DIV/0!</v>
      </c>
      <c r="I292" s="225"/>
      <c r="J292" s="186"/>
    </row>
    <row r="293" spans="1:10" s="187" customFormat="1" x14ac:dyDescent="0.25">
      <c r="A293" s="188"/>
      <c r="B293" s="190"/>
      <c r="C293" s="35" t="s">
        <v>530</v>
      </c>
      <c r="D293" s="191">
        <f>SUM(D294:D294)</f>
        <v>0</v>
      </c>
      <c r="E293" s="191"/>
      <c r="F293" s="191">
        <f>SUM(F294:F294)</f>
        <v>0</v>
      </c>
      <c r="G293" s="191">
        <f>SUM(G294:G294)</f>
        <v>0</v>
      </c>
      <c r="H293" s="236" t="e">
        <f>G293/D293</f>
        <v>#DIV/0!</v>
      </c>
      <c r="I293" s="225"/>
      <c r="J293" s="186"/>
    </row>
    <row r="294" spans="1:10" s="187" customFormat="1" x14ac:dyDescent="0.25">
      <c r="A294" s="188"/>
      <c r="B294" s="190"/>
      <c r="C294" s="193" t="s">
        <v>663</v>
      </c>
      <c r="D294" s="192"/>
      <c r="E294" s="192">
        <f>'Realisasi April'!G291</f>
        <v>0</v>
      </c>
      <c r="F294" s="192"/>
      <c r="G294" s="192">
        <f>E294+F294</f>
        <v>0</v>
      </c>
      <c r="H294" s="24" t="e">
        <f>G294/D294</f>
        <v>#DIV/0!</v>
      </c>
      <c r="I294" s="225"/>
      <c r="J294" s="186"/>
    </row>
    <row r="295" spans="1:10" s="176" customFormat="1" x14ac:dyDescent="0.25">
      <c r="A295" s="27"/>
      <c r="B295" s="178"/>
      <c r="C295" s="183"/>
      <c r="D295" s="192"/>
      <c r="E295" s="192"/>
      <c r="F295" s="192"/>
      <c r="G295" s="191"/>
      <c r="H295" s="236"/>
      <c r="I295" s="224"/>
      <c r="J295" s="175"/>
    </row>
    <row r="296" spans="1:10" s="176" customFormat="1" x14ac:dyDescent="0.25">
      <c r="A296" s="138" t="s">
        <v>169</v>
      </c>
      <c r="B296" s="139" t="s">
        <v>368</v>
      </c>
      <c r="C296" s="140" t="s">
        <v>369</v>
      </c>
      <c r="D296" s="142">
        <v>429554051000</v>
      </c>
      <c r="E296" s="142">
        <f>'Realisasi April'!G293</f>
        <v>177169056138</v>
      </c>
      <c r="F296" s="142">
        <v>0</v>
      </c>
      <c r="G296" s="141">
        <f>E296+F296</f>
        <v>177169056138</v>
      </c>
      <c r="H296" s="240">
        <f>G296/D296</f>
        <v>0.41244880760768332</v>
      </c>
      <c r="I296" s="225" t="s">
        <v>468</v>
      </c>
      <c r="J296" s="175"/>
    </row>
    <row r="297" spans="1:10" s="176" customFormat="1" x14ac:dyDescent="0.25">
      <c r="A297" s="27"/>
      <c r="B297" s="178"/>
      <c r="C297" s="39"/>
      <c r="D297" s="38"/>
      <c r="E297" s="38"/>
      <c r="F297" s="38"/>
      <c r="G297" s="38"/>
      <c r="H297" s="241"/>
      <c r="I297" s="225"/>
      <c r="J297" s="175"/>
    </row>
    <row r="298" spans="1:10" s="176" customFormat="1" x14ac:dyDescent="0.25">
      <c r="A298" s="138" t="s">
        <v>170</v>
      </c>
      <c r="B298" s="139" t="s">
        <v>370</v>
      </c>
      <c r="C298" s="140" t="s">
        <v>371</v>
      </c>
      <c r="D298" s="141">
        <f>SUM(D300+D352+D329)</f>
        <v>62721068973</v>
      </c>
      <c r="E298" s="141">
        <f>SUM(E300+E352+E329)</f>
        <v>0</v>
      </c>
      <c r="F298" s="141">
        <f>SUM(F300+F352+F329)</f>
        <v>4124379500</v>
      </c>
      <c r="G298" s="141">
        <f>SUM(G300+G352+G329)</f>
        <v>4124379500</v>
      </c>
      <c r="H298" s="240">
        <f>G298/D298</f>
        <v>6.575748097940505E-2</v>
      </c>
      <c r="I298" s="225" t="s">
        <v>469</v>
      </c>
      <c r="J298" s="175"/>
    </row>
    <row r="299" spans="1:10" s="176" customFormat="1" x14ac:dyDescent="0.25">
      <c r="A299" s="40"/>
      <c r="B299" s="22"/>
      <c r="C299" s="185"/>
      <c r="D299" s="191"/>
      <c r="E299" s="191"/>
      <c r="F299" s="191"/>
      <c r="G299" s="191"/>
      <c r="H299" s="236"/>
      <c r="I299" s="224"/>
      <c r="J299" s="175"/>
    </row>
    <row r="300" spans="1:10" s="176" customFormat="1" ht="38.25" customHeight="1" x14ac:dyDescent="0.25">
      <c r="A300" s="293"/>
      <c r="B300" s="262" t="s">
        <v>413</v>
      </c>
      <c r="C300" s="41" t="s">
        <v>171</v>
      </c>
      <c r="D300" s="42">
        <f>SUM(D307+D313+D315+D317+D319+D321+D323+D301+D326)</f>
        <v>62721068973</v>
      </c>
      <c r="E300" s="42">
        <f>SUM(E307+E313+E315+E317+E319+E321+E323+E301+E326)</f>
        <v>0</v>
      </c>
      <c r="F300" s="42">
        <f>SUM(F307+F313+F315+F317+F319+F321+F323+F301+F326)</f>
        <v>4124379500</v>
      </c>
      <c r="G300" s="42">
        <f>G301+G307+G317+G319+G323+G326</f>
        <v>4124379500</v>
      </c>
      <c r="H300" s="237">
        <f t="shared" ref="H300:H312" si="106">G300/D300</f>
        <v>6.575748097940505E-2</v>
      </c>
      <c r="I300" s="225" t="s">
        <v>470</v>
      </c>
      <c r="J300" s="175"/>
    </row>
    <row r="301" spans="1:10" s="176" customFormat="1" x14ac:dyDescent="0.25">
      <c r="A301" s="40"/>
      <c r="B301" s="43">
        <v>1</v>
      </c>
      <c r="C301" s="185" t="s">
        <v>172</v>
      </c>
      <c r="D301" s="191">
        <f>SUM(D302:D306)</f>
        <v>23287427000</v>
      </c>
      <c r="E301" s="191">
        <f t="shared" ref="E301:G301" si="107">SUM(E302:E306)</f>
        <v>0</v>
      </c>
      <c r="F301" s="191">
        <f t="shared" si="107"/>
        <v>4124379500</v>
      </c>
      <c r="G301" s="191">
        <f t="shared" si="107"/>
        <v>4124379500</v>
      </c>
      <c r="H301" s="236">
        <f t="shared" si="106"/>
        <v>0.17710756538281366</v>
      </c>
      <c r="I301" s="225"/>
      <c r="J301" s="175"/>
    </row>
    <row r="302" spans="1:10" s="176" customFormat="1" x14ac:dyDescent="0.25">
      <c r="A302" s="40"/>
      <c r="B302" s="190" t="s">
        <v>531</v>
      </c>
      <c r="C302" s="193" t="s">
        <v>173</v>
      </c>
      <c r="D302" s="192">
        <v>1376396000</v>
      </c>
      <c r="E302" s="192">
        <f>'Realisasi April'!G299</f>
        <v>0</v>
      </c>
      <c r="F302" s="192">
        <v>262849000</v>
      </c>
      <c r="G302" s="192">
        <f>E302+F302</f>
        <v>262849000</v>
      </c>
      <c r="H302" s="24">
        <f t="shared" si="106"/>
        <v>0.19096902344964675</v>
      </c>
      <c r="I302" s="225" t="s">
        <v>471</v>
      </c>
      <c r="J302" s="175"/>
    </row>
    <row r="303" spans="1:10" s="176" customFormat="1" x14ac:dyDescent="0.25">
      <c r="A303" s="40"/>
      <c r="B303" s="190" t="s">
        <v>532</v>
      </c>
      <c r="C303" s="193" t="s">
        <v>174</v>
      </c>
      <c r="D303" s="192">
        <v>10775078000</v>
      </c>
      <c r="E303" s="192">
        <f>'Realisasi April'!G300</f>
        <v>0</v>
      </c>
      <c r="F303" s="192">
        <v>1537519500</v>
      </c>
      <c r="G303" s="192">
        <f t="shared" ref="G303:G306" si="108">E303+F303</f>
        <v>1537519500</v>
      </c>
      <c r="H303" s="24">
        <f t="shared" si="106"/>
        <v>0.1426921921122056</v>
      </c>
      <c r="I303" s="225" t="s">
        <v>471</v>
      </c>
      <c r="J303" s="175"/>
    </row>
    <row r="304" spans="1:10" s="176" customFormat="1" x14ac:dyDescent="0.25">
      <c r="A304" s="40"/>
      <c r="B304" s="190" t="s">
        <v>533</v>
      </c>
      <c r="C304" s="193" t="s">
        <v>175</v>
      </c>
      <c r="D304" s="192">
        <v>10360454000</v>
      </c>
      <c r="E304" s="192">
        <f>'Realisasi April'!G301</f>
        <v>0</v>
      </c>
      <c r="F304" s="192">
        <v>2324011000</v>
      </c>
      <c r="G304" s="192">
        <f t="shared" si="108"/>
        <v>2324011000</v>
      </c>
      <c r="H304" s="24">
        <f t="shared" si="106"/>
        <v>0.22431555605574813</v>
      </c>
      <c r="I304" s="225" t="s">
        <v>471</v>
      </c>
      <c r="J304" s="175"/>
    </row>
    <row r="305" spans="1:10" s="176" customFormat="1" x14ac:dyDescent="0.25">
      <c r="A305" s="40"/>
      <c r="B305" s="190"/>
      <c r="C305" s="193" t="s">
        <v>684</v>
      </c>
      <c r="D305" s="192">
        <v>470885000</v>
      </c>
      <c r="E305" s="192"/>
      <c r="F305" s="192"/>
      <c r="G305" s="192"/>
      <c r="H305" s="24"/>
      <c r="I305" s="225"/>
      <c r="J305" s="175"/>
    </row>
    <row r="306" spans="1:10" s="176" customFormat="1" x14ac:dyDescent="0.25">
      <c r="A306" s="40"/>
      <c r="B306" s="190" t="s">
        <v>534</v>
      </c>
      <c r="C306" s="193" t="s">
        <v>176</v>
      </c>
      <c r="D306" s="192">
        <v>304614000</v>
      </c>
      <c r="E306" s="192">
        <f>'Realisasi April'!G302</f>
        <v>0</v>
      </c>
      <c r="F306" s="192"/>
      <c r="G306" s="192">
        <f t="shared" si="108"/>
        <v>0</v>
      </c>
      <c r="H306" s="24">
        <f t="shared" si="106"/>
        <v>0</v>
      </c>
      <c r="I306" s="225" t="s">
        <v>471</v>
      </c>
      <c r="J306" s="175"/>
    </row>
    <row r="307" spans="1:10" s="176" customFormat="1" x14ac:dyDescent="0.25">
      <c r="A307" s="40"/>
      <c r="B307" s="43">
        <v>2</v>
      </c>
      <c r="C307" s="185" t="s">
        <v>177</v>
      </c>
      <c r="D307" s="191">
        <f>SUM(D308:D312)</f>
        <v>21101016973</v>
      </c>
      <c r="E307" s="191">
        <f t="shared" ref="E307:G307" si="109">SUM(E308:E312)</f>
        <v>0</v>
      </c>
      <c r="F307" s="191">
        <f t="shared" si="109"/>
        <v>0</v>
      </c>
      <c r="G307" s="191">
        <f t="shared" si="109"/>
        <v>0</v>
      </c>
      <c r="H307" s="236">
        <f t="shared" si="106"/>
        <v>0</v>
      </c>
      <c r="I307" s="225"/>
      <c r="J307" s="175"/>
    </row>
    <row r="308" spans="1:10" s="176" customFormat="1" x14ac:dyDescent="0.25">
      <c r="A308" s="40"/>
      <c r="B308" s="190" t="s">
        <v>535</v>
      </c>
      <c r="C308" s="193" t="s">
        <v>178</v>
      </c>
      <c r="D308" s="192"/>
      <c r="E308" s="192"/>
      <c r="F308" s="192"/>
      <c r="G308" s="192">
        <f>E308+F308</f>
        <v>0</v>
      </c>
      <c r="H308" s="24" t="e">
        <f t="shared" si="106"/>
        <v>#DIV/0!</v>
      </c>
      <c r="I308" s="225" t="s">
        <v>471</v>
      </c>
      <c r="J308" s="175"/>
    </row>
    <row r="309" spans="1:10" s="176" customFormat="1" x14ac:dyDescent="0.25">
      <c r="A309" s="40"/>
      <c r="B309" s="190" t="s">
        <v>536</v>
      </c>
      <c r="C309" s="193" t="s">
        <v>372</v>
      </c>
      <c r="D309" s="192"/>
      <c r="E309" s="192"/>
      <c r="F309" s="192"/>
      <c r="G309" s="192">
        <f t="shared" ref="G309:G320" si="110">E309+F309</f>
        <v>0</v>
      </c>
      <c r="H309" s="24" t="e">
        <f t="shared" si="106"/>
        <v>#DIV/0!</v>
      </c>
      <c r="I309" s="225" t="s">
        <v>471</v>
      </c>
      <c r="J309" s="175"/>
    </row>
    <row r="310" spans="1:10" s="176" customFormat="1" x14ac:dyDescent="0.25">
      <c r="A310" s="40"/>
      <c r="B310" s="190" t="s">
        <v>537</v>
      </c>
      <c r="C310" s="193" t="s">
        <v>179</v>
      </c>
      <c r="D310" s="192">
        <v>2892701000</v>
      </c>
      <c r="E310" s="192"/>
      <c r="F310" s="192"/>
      <c r="G310" s="192">
        <f t="shared" si="110"/>
        <v>0</v>
      </c>
      <c r="H310" s="24">
        <f t="shared" si="106"/>
        <v>0</v>
      </c>
      <c r="I310" s="225" t="s">
        <v>471</v>
      </c>
      <c r="J310" s="175"/>
    </row>
    <row r="311" spans="1:10" s="176" customFormat="1" x14ac:dyDescent="0.25">
      <c r="A311" s="40"/>
      <c r="B311" s="190" t="s">
        <v>538</v>
      </c>
      <c r="C311" s="193" t="s">
        <v>180</v>
      </c>
      <c r="D311" s="192">
        <v>12902970863</v>
      </c>
      <c r="E311" s="192"/>
      <c r="F311" s="192"/>
      <c r="G311" s="192">
        <f t="shared" si="110"/>
        <v>0</v>
      </c>
      <c r="H311" s="24">
        <f t="shared" si="106"/>
        <v>0</v>
      </c>
      <c r="I311" s="225" t="s">
        <v>471</v>
      </c>
      <c r="J311" s="175"/>
    </row>
    <row r="312" spans="1:10" s="176" customFormat="1" x14ac:dyDescent="0.25">
      <c r="A312" s="40"/>
      <c r="B312" s="190" t="s">
        <v>373</v>
      </c>
      <c r="C312" s="193" t="s">
        <v>181</v>
      </c>
      <c r="D312" s="192">
        <v>5305345110</v>
      </c>
      <c r="E312" s="192"/>
      <c r="F312" s="192"/>
      <c r="G312" s="192">
        <f t="shared" si="110"/>
        <v>0</v>
      </c>
      <c r="H312" s="24">
        <f t="shared" si="106"/>
        <v>0</v>
      </c>
      <c r="I312" s="225" t="s">
        <v>471</v>
      </c>
      <c r="J312" s="175"/>
    </row>
    <row r="313" spans="1:10" s="176" customFormat="1" hidden="1" x14ac:dyDescent="0.25">
      <c r="A313" s="40"/>
      <c r="B313" s="43">
        <v>3</v>
      </c>
      <c r="C313" s="185" t="s">
        <v>182</v>
      </c>
      <c r="D313" s="191">
        <f>SUM(D314:D314)</f>
        <v>0</v>
      </c>
      <c r="E313" s="191"/>
      <c r="F313" s="191"/>
      <c r="G313" s="192">
        <f t="shared" si="110"/>
        <v>0</v>
      </c>
      <c r="H313" s="236">
        <v>0</v>
      </c>
      <c r="I313" s="224"/>
      <c r="J313" s="175"/>
    </row>
    <row r="314" spans="1:10" s="176" customFormat="1" hidden="1" x14ac:dyDescent="0.25">
      <c r="A314" s="40"/>
      <c r="B314" s="44"/>
      <c r="C314" s="193" t="s">
        <v>183</v>
      </c>
      <c r="D314" s="192">
        <v>0</v>
      </c>
      <c r="E314" s="192"/>
      <c r="F314" s="192"/>
      <c r="G314" s="192">
        <f t="shared" si="110"/>
        <v>0</v>
      </c>
      <c r="H314" s="24">
        <v>0</v>
      </c>
      <c r="I314" s="223"/>
      <c r="J314" s="175"/>
    </row>
    <row r="315" spans="1:10" s="176" customFormat="1" hidden="1" x14ac:dyDescent="0.25">
      <c r="A315" s="40"/>
      <c r="B315" s="43">
        <v>4</v>
      </c>
      <c r="C315" s="185" t="s">
        <v>184</v>
      </c>
      <c r="D315" s="191">
        <f>SUM(D316:D316)</f>
        <v>0</v>
      </c>
      <c r="E315" s="191"/>
      <c r="F315" s="191"/>
      <c r="G315" s="192">
        <f t="shared" si="110"/>
        <v>0</v>
      </c>
      <c r="H315" s="236">
        <v>0</v>
      </c>
      <c r="I315" s="223"/>
      <c r="J315" s="175"/>
    </row>
    <row r="316" spans="1:10" s="176" customFormat="1" hidden="1" x14ac:dyDescent="0.25">
      <c r="A316" s="40"/>
      <c r="B316" s="44"/>
      <c r="C316" s="193" t="s">
        <v>185</v>
      </c>
      <c r="D316" s="192">
        <v>0</v>
      </c>
      <c r="E316" s="192"/>
      <c r="F316" s="192"/>
      <c r="G316" s="192">
        <f t="shared" si="110"/>
        <v>0</v>
      </c>
      <c r="H316" s="24">
        <v>0</v>
      </c>
      <c r="I316" s="223"/>
      <c r="J316" s="175"/>
    </row>
    <row r="317" spans="1:10" s="176" customFormat="1" x14ac:dyDescent="0.25">
      <c r="A317" s="40"/>
      <c r="B317" s="43">
        <v>3</v>
      </c>
      <c r="C317" s="35" t="s">
        <v>186</v>
      </c>
      <c r="D317" s="191">
        <f>SUM(D318:D318)</f>
        <v>4803838000</v>
      </c>
      <c r="E317" s="191">
        <f t="shared" ref="E317:G317" si="111">SUM(E318:E318)</f>
        <v>0</v>
      </c>
      <c r="F317" s="191">
        <f t="shared" si="111"/>
        <v>0</v>
      </c>
      <c r="G317" s="191">
        <f t="shared" si="111"/>
        <v>0</v>
      </c>
      <c r="H317" s="236"/>
      <c r="I317" s="223"/>
      <c r="J317" s="175"/>
    </row>
    <row r="318" spans="1:10" s="176" customFormat="1" x14ac:dyDescent="0.25">
      <c r="A318" s="40"/>
      <c r="B318" s="190" t="s">
        <v>374</v>
      </c>
      <c r="C318" s="193" t="s">
        <v>187</v>
      </c>
      <c r="D318" s="192">
        <v>4803838000</v>
      </c>
      <c r="E318" s="192"/>
      <c r="F318" s="192"/>
      <c r="G318" s="192">
        <f t="shared" si="110"/>
        <v>0</v>
      </c>
      <c r="H318" s="24"/>
      <c r="I318" s="225"/>
      <c r="J318" s="175"/>
    </row>
    <row r="319" spans="1:10" s="176" customFormat="1" x14ac:dyDescent="0.25">
      <c r="A319" s="40"/>
      <c r="B319" s="43">
        <v>4</v>
      </c>
      <c r="C319" s="185" t="s">
        <v>188</v>
      </c>
      <c r="D319" s="191">
        <f>SUM(D320)</f>
        <v>6188582000</v>
      </c>
      <c r="E319" s="191">
        <f t="shared" ref="E319:G319" si="112">SUM(E320)</f>
        <v>0</v>
      </c>
      <c r="F319" s="191">
        <f t="shared" si="112"/>
        <v>0</v>
      </c>
      <c r="G319" s="191">
        <f t="shared" si="112"/>
        <v>0</v>
      </c>
      <c r="H319" s="236"/>
      <c r="I319" s="223"/>
      <c r="J319" s="175"/>
    </row>
    <row r="320" spans="1:10" s="176" customFormat="1" x14ac:dyDescent="0.25">
      <c r="A320" s="40"/>
      <c r="B320" s="190" t="s">
        <v>375</v>
      </c>
      <c r="C320" s="193" t="s">
        <v>189</v>
      </c>
      <c r="D320" s="192">
        <v>6188582000</v>
      </c>
      <c r="E320" s="192"/>
      <c r="F320" s="192"/>
      <c r="G320" s="192">
        <f t="shared" si="110"/>
        <v>0</v>
      </c>
      <c r="H320" s="24"/>
      <c r="I320" s="225"/>
      <c r="J320" s="175"/>
    </row>
    <row r="321" spans="1:10" s="176" customFormat="1" hidden="1" x14ac:dyDescent="0.25">
      <c r="A321" s="40"/>
      <c r="B321" s="43">
        <v>5</v>
      </c>
      <c r="C321" s="185" t="s">
        <v>190</v>
      </c>
      <c r="D321" s="191">
        <f>SUM(D322)</f>
        <v>0</v>
      </c>
      <c r="E321" s="191"/>
      <c r="F321" s="191">
        <f>SUM(F322)</f>
        <v>0</v>
      </c>
      <c r="G321" s="192" t="e">
        <f>#REF!+F321</f>
        <v>#REF!</v>
      </c>
      <c r="H321" s="236">
        <v>0</v>
      </c>
      <c r="I321" s="224"/>
      <c r="J321" s="175"/>
    </row>
    <row r="322" spans="1:10" s="176" customFormat="1" hidden="1" x14ac:dyDescent="0.25">
      <c r="A322" s="40"/>
      <c r="B322" s="44"/>
      <c r="C322" s="193" t="s">
        <v>191</v>
      </c>
      <c r="D322" s="192">
        <v>0</v>
      </c>
      <c r="E322" s="192"/>
      <c r="F322" s="192">
        <v>0</v>
      </c>
      <c r="G322" s="192" t="e">
        <f>#REF!+F322</f>
        <v>#REF!</v>
      </c>
      <c r="H322" s="24">
        <v>0</v>
      </c>
      <c r="I322" s="223"/>
      <c r="J322" s="175"/>
    </row>
    <row r="323" spans="1:10" s="176" customFormat="1" x14ac:dyDescent="0.25">
      <c r="A323" s="40"/>
      <c r="B323" s="43">
        <v>5</v>
      </c>
      <c r="C323" s="185" t="s">
        <v>192</v>
      </c>
      <c r="D323" s="191">
        <f>SUM(D324:D325)</f>
        <v>0</v>
      </c>
      <c r="E323" s="191">
        <f t="shared" ref="E323:G323" si="113">SUM(E324:E325)</f>
        <v>0</v>
      </c>
      <c r="F323" s="191">
        <f t="shared" si="113"/>
        <v>0</v>
      </c>
      <c r="G323" s="191">
        <f t="shared" si="113"/>
        <v>0</v>
      </c>
      <c r="H323" s="236" t="e">
        <f>G323/D323</f>
        <v>#DIV/0!</v>
      </c>
      <c r="I323" s="223"/>
      <c r="J323" s="175"/>
    </row>
    <row r="324" spans="1:10" s="176" customFormat="1" x14ac:dyDescent="0.25">
      <c r="A324" s="40"/>
      <c r="B324" s="190" t="s">
        <v>539</v>
      </c>
      <c r="C324" s="193" t="s">
        <v>193</v>
      </c>
      <c r="D324" s="192"/>
      <c r="E324" s="192"/>
      <c r="F324" s="192"/>
      <c r="G324" s="192">
        <f>E324+F324</f>
        <v>0</v>
      </c>
      <c r="H324" s="24" t="e">
        <f>G324/D324</f>
        <v>#DIV/0!</v>
      </c>
      <c r="I324" s="225" t="s">
        <v>470</v>
      </c>
      <c r="J324" s="175"/>
    </row>
    <row r="325" spans="1:10" s="176" customFormat="1" x14ac:dyDescent="0.25">
      <c r="A325" s="40"/>
      <c r="B325" s="190" t="s">
        <v>540</v>
      </c>
      <c r="C325" s="193" t="s">
        <v>194</v>
      </c>
      <c r="D325" s="192"/>
      <c r="E325" s="192"/>
      <c r="F325" s="192"/>
      <c r="G325" s="192">
        <f>E325+F325</f>
        <v>0</v>
      </c>
      <c r="H325" s="24" t="e">
        <f>G325/D325</f>
        <v>#DIV/0!</v>
      </c>
      <c r="I325" s="225" t="s">
        <v>470</v>
      </c>
      <c r="J325" s="175"/>
    </row>
    <row r="326" spans="1:10" s="176" customFormat="1" x14ac:dyDescent="0.25">
      <c r="A326" s="40"/>
      <c r="B326" s="43">
        <v>6</v>
      </c>
      <c r="C326" s="170" t="s">
        <v>206</v>
      </c>
      <c r="D326" s="191">
        <f>D327</f>
        <v>7340205000</v>
      </c>
      <c r="E326" s="191">
        <f t="shared" ref="E326:G326" si="114">E327</f>
        <v>0</v>
      </c>
      <c r="F326" s="191">
        <f t="shared" si="114"/>
        <v>0</v>
      </c>
      <c r="G326" s="191">
        <f t="shared" si="114"/>
        <v>0</v>
      </c>
      <c r="H326" s="236">
        <f>G326/D326</f>
        <v>0</v>
      </c>
      <c r="I326" s="225"/>
      <c r="J326" s="175"/>
    </row>
    <row r="327" spans="1:10" s="176" customFormat="1" x14ac:dyDescent="0.25">
      <c r="A327" s="40"/>
      <c r="B327" s="190"/>
      <c r="C327" s="48" t="s">
        <v>210</v>
      </c>
      <c r="D327" s="192">
        <v>7340205000</v>
      </c>
      <c r="E327" s="192"/>
      <c r="F327" s="192"/>
      <c r="G327" s="192"/>
      <c r="H327" s="24">
        <f>G327/D327</f>
        <v>0</v>
      </c>
      <c r="I327" s="225"/>
      <c r="J327" s="175"/>
    </row>
    <row r="328" spans="1:10" s="176" customFormat="1" x14ac:dyDescent="0.25">
      <c r="A328" s="40"/>
      <c r="B328" s="178"/>
      <c r="C328" s="183"/>
      <c r="D328" s="192"/>
      <c r="E328" s="192"/>
      <c r="F328" s="192"/>
      <c r="G328" s="191"/>
      <c r="H328" s="236"/>
      <c r="I328" s="224"/>
      <c r="J328" s="175"/>
    </row>
    <row r="329" spans="1:10" s="176" customFormat="1" ht="37.5" hidden="1" customHeight="1" x14ac:dyDescent="0.25">
      <c r="A329" s="293"/>
      <c r="B329" s="262" t="s">
        <v>414</v>
      </c>
      <c r="C329" s="45" t="s">
        <v>195</v>
      </c>
      <c r="D329" s="42">
        <f>SUM(D330+D339+D341+D343+D345+D347+D349)</f>
        <v>0</v>
      </c>
      <c r="E329" s="42"/>
      <c r="F329" s="42">
        <f t="shared" ref="F329:G329" si="115">SUM(F330+F339+F341+F343+F345+F347+F349)</f>
        <v>0</v>
      </c>
      <c r="G329" s="42">
        <f t="shared" si="115"/>
        <v>0</v>
      </c>
      <c r="H329" s="237" t="e">
        <f>G329/D329</f>
        <v>#DIV/0!</v>
      </c>
      <c r="I329" s="225" t="s">
        <v>469</v>
      </c>
      <c r="J329" s="175"/>
    </row>
    <row r="330" spans="1:10" s="176" customFormat="1" hidden="1" x14ac:dyDescent="0.25">
      <c r="A330" s="40"/>
      <c r="B330" s="43">
        <v>1</v>
      </c>
      <c r="C330" s="185" t="s">
        <v>177</v>
      </c>
      <c r="D330" s="191">
        <f>SUM(D332:D337)</f>
        <v>0</v>
      </c>
      <c r="E330" s="191">
        <f t="shared" ref="E330:G330" si="116">SUM(E332:E337)</f>
        <v>0</v>
      </c>
      <c r="F330" s="191">
        <f t="shared" si="116"/>
        <v>0</v>
      </c>
      <c r="G330" s="191">
        <f t="shared" si="116"/>
        <v>0</v>
      </c>
      <c r="H330" s="236" t="e">
        <f>G330/D330</f>
        <v>#DIV/0!</v>
      </c>
      <c r="I330" s="225"/>
      <c r="J330" s="175"/>
    </row>
    <row r="331" spans="1:10" s="176" customFormat="1" hidden="1" x14ac:dyDescent="0.25">
      <c r="A331" s="40"/>
      <c r="B331" s="44"/>
      <c r="C331" s="193" t="s">
        <v>196</v>
      </c>
      <c r="D331" s="192">
        <v>0</v>
      </c>
      <c r="E331" s="192"/>
      <c r="F331" s="192">
        <v>0</v>
      </c>
      <c r="G331" s="191" t="e">
        <f>#REF!+F331</f>
        <v>#REF!</v>
      </c>
      <c r="H331" s="24">
        <v>0</v>
      </c>
      <c r="I331" s="223"/>
      <c r="J331" s="175"/>
    </row>
    <row r="332" spans="1:10" s="176" customFormat="1" hidden="1" x14ac:dyDescent="0.25">
      <c r="A332" s="40"/>
      <c r="B332" s="190" t="s">
        <v>388</v>
      </c>
      <c r="C332" s="193" t="s">
        <v>197</v>
      </c>
      <c r="D332" s="192">
        <v>0</v>
      </c>
      <c r="E332" s="192"/>
      <c r="F332" s="192"/>
      <c r="G332" s="192">
        <f>E332+F332</f>
        <v>0</v>
      </c>
      <c r="H332" s="24"/>
      <c r="I332" s="225"/>
      <c r="J332" s="175"/>
    </row>
    <row r="333" spans="1:10" s="176" customFormat="1" ht="18" hidden="1" customHeight="1" x14ac:dyDescent="0.25">
      <c r="A333" s="40"/>
      <c r="B333" s="44"/>
      <c r="C333" s="193" t="s">
        <v>198</v>
      </c>
      <c r="D333" s="192"/>
      <c r="E333" s="192"/>
      <c r="F333" s="192"/>
      <c r="G333" s="192">
        <f t="shared" ref="G333:G337" si="117">E333+F333</f>
        <v>0</v>
      </c>
      <c r="H333" s="24"/>
      <c r="I333" s="223"/>
      <c r="J333" s="175"/>
    </row>
    <row r="334" spans="1:10" s="176" customFormat="1" hidden="1" x14ac:dyDescent="0.25">
      <c r="A334" s="40"/>
      <c r="B334" s="190" t="s">
        <v>389</v>
      </c>
      <c r="C334" s="193" t="s">
        <v>199</v>
      </c>
      <c r="D334" s="192">
        <v>0</v>
      </c>
      <c r="E334" s="192"/>
      <c r="F334" s="192"/>
      <c r="G334" s="192">
        <f t="shared" si="117"/>
        <v>0</v>
      </c>
      <c r="H334" s="24"/>
      <c r="I334" s="225"/>
      <c r="J334" s="175"/>
    </row>
    <row r="335" spans="1:10" s="176" customFormat="1" hidden="1" x14ac:dyDescent="0.25">
      <c r="A335" s="40"/>
      <c r="B335" s="44"/>
      <c r="C335" s="193" t="s">
        <v>200</v>
      </c>
      <c r="D335" s="192">
        <v>0</v>
      </c>
      <c r="E335" s="192"/>
      <c r="F335" s="192"/>
      <c r="G335" s="192">
        <f t="shared" si="117"/>
        <v>0</v>
      </c>
      <c r="H335" s="24">
        <v>0</v>
      </c>
      <c r="I335" s="223"/>
      <c r="J335" s="175"/>
    </row>
    <row r="336" spans="1:10" s="176" customFormat="1" hidden="1" x14ac:dyDescent="0.25">
      <c r="A336" s="40"/>
      <c r="B336" s="44"/>
      <c r="C336" s="193" t="s">
        <v>201</v>
      </c>
      <c r="D336" s="192">
        <v>0</v>
      </c>
      <c r="E336" s="192"/>
      <c r="F336" s="192"/>
      <c r="G336" s="192">
        <f t="shared" si="117"/>
        <v>0</v>
      </c>
      <c r="H336" s="24"/>
      <c r="I336" s="225"/>
      <c r="J336" s="175"/>
    </row>
    <row r="337" spans="1:10" s="176" customFormat="1" hidden="1" x14ac:dyDescent="0.25">
      <c r="A337" s="40"/>
      <c r="B337" s="190" t="s">
        <v>541</v>
      </c>
      <c r="C337" s="193" t="s">
        <v>390</v>
      </c>
      <c r="D337" s="192"/>
      <c r="E337" s="192"/>
      <c r="F337" s="192"/>
      <c r="G337" s="192">
        <f t="shared" si="117"/>
        <v>0</v>
      </c>
      <c r="H337" s="24" t="e">
        <f>G337/D337</f>
        <v>#DIV/0!</v>
      </c>
      <c r="I337" s="225" t="s">
        <v>470</v>
      </c>
      <c r="J337" s="175"/>
    </row>
    <row r="338" spans="1:10" s="176" customFormat="1" hidden="1" x14ac:dyDescent="0.25">
      <c r="A338" s="40"/>
      <c r="B338" s="44"/>
      <c r="C338" s="183"/>
      <c r="D338" s="192"/>
      <c r="E338" s="192"/>
      <c r="F338" s="192"/>
      <c r="G338" s="191"/>
      <c r="H338" s="24"/>
      <c r="I338" s="223"/>
      <c r="J338" s="175"/>
    </row>
    <row r="339" spans="1:10" s="176" customFormat="1" hidden="1" x14ac:dyDescent="0.25">
      <c r="A339" s="40"/>
      <c r="B339" s="43">
        <v>2</v>
      </c>
      <c r="C339" s="185" t="s">
        <v>202</v>
      </c>
      <c r="D339" s="191">
        <f>SUM(D340:D340)</f>
        <v>0</v>
      </c>
      <c r="E339" s="191"/>
      <c r="F339" s="191">
        <f t="shared" ref="F339:G339" si="118">SUM(F340:F340)</f>
        <v>0</v>
      </c>
      <c r="G339" s="191">
        <f t="shared" si="118"/>
        <v>0</v>
      </c>
      <c r="H339" s="236" t="e">
        <f t="shared" ref="H339:H350" si="119">G339/D339</f>
        <v>#DIV/0!</v>
      </c>
      <c r="I339" s="224"/>
      <c r="J339" s="175"/>
    </row>
    <row r="340" spans="1:10" s="176" customFormat="1" hidden="1" x14ac:dyDescent="0.25">
      <c r="A340" s="40"/>
      <c r="B340" s="190" t="s">
        <v>542</v>
      </c>
      <c r="C340" s="193" t="s">
        <v>391</v>
      </c>
      <c r="D340" s="192"/>
      <c r="E340" s="192"/>
      <c r="F340" s="192"/>
      <c r="G340" s="192">
        <f>E340+F340</f>
        <v>0</v>
      </c>
      <c r="H340" s="24" t="e">
        <f t="shared" si="119"/>
        <v>#DIV/0!</v>
      </c>
      <c r="I340" s="225" t="s">
        <v>470</v>
      </c>
      <c r="J340" s="175"/>
    </row>
    <row r="341" spans="1:10" s="176" customFormat="1" hidden="1" x14ac:dyDescent="0.25">
      <c r="A341" s="40"/>
      <c r="B341" s="43">
        <v>3</v>
      </c>
      <c r="C341" s="185" t="s">
        <v>203</v>
      </c>
      <c r="D341" s="191">
        <f>SUM(D342:D342)</f>
        <v>0</v>
      </c>
      <c r="E341" s="191"/>
      <c r="F341" s="191">
        <f t="shared" ref="F341:G341" si="120">SUM(F342:F342)</f>
        <v>0</v>
      </c>
      <c r="G341" s="191">
        <f t="shared" si="120"/>
        <v>0</v>
      </c>
      <c r="H341" s="236" t="e">
        <f t="shared" si="119"/>
        <v>#DIV/0!</v>
      </c>
      <c r="I341" s="224"/>
      <c r="J341" s="175"/>
    </row>
    <row r="342" spans="1:10" s="176" customFormat="1" hidden="1" x14ac:dyDescent="0.25">
      <c r="A342" s="40"/>
      <c r="B342" s="190" t="s">
        <v>543</v>
      </c>
      <c r="C342" s="193" t="s">
        <v>392</v>
      </c>
      <c r="D342" s="192"/>
      <c r="E342" s="192"/>
      <c r="F342" s="192"/>
      <c r="G342" s="192">
        <f>E342+F342</f>
        <v>0</v>
      </c>
      <c r="H342" s="24" t="e">
        <f t="shared" si="119"/>
        <v>#DIV/0!</v>
      </c>
      <c r="I342" s="225" t="s">
        <v>469</v>
      </c>
      <c r="J342" s="175"/>
    </row>
    <row r="343" spans="1:10" s="176" customFormat="1" hidden="1" x14ac:dyDescent="0.25">
      <c r="A343" s="40"/>
      <c r="B343" s="43">
        <v>4</v>
      </c>
      <c r="C343" s="185" t="s">
        <v>192</v>
      </c>
      <c r="D343" s="191">
        <f>SUM(D344)</f>
        <v>0</v>
      </c>
      <c r="E343" s="191"/>
      <c r="F343" s="191">
        <f t="shared" ref="F343:G343" si="121">SUM(F344)</f>
        <v>0</v>
      </c>
      <c r="G343" s="191">
        <f t="shared" si="121"/>
        <v>0</v>
      </c>
      <c r="H343" s="236" t="e">
        <f t="shared" si="119"/>
        <v>#DIV/0!</v>
      </c>
      <c r="I343" s="224"/>
      <c r="J343" s="175"/>
    </row>
    <row r="344" spans="1:10" s="176" customFormat="1" hidden="1" x14ac:dyDescent="0.25">
      <c r="A344" s="40"/>
      <c r="B344" s="190" t="s">
        <v>544</v>
      </c>
      <c r="C344" s="47" t="s">
        <v>393</v>
      </c>
      <c r="D344" s="192"/>
      <c r="E344" s="192"/>
      <c r="F344" s="192"/>
      <c r="G344" s="192">
        <f>E344+F344</f>
        <v>0</v>
      </c>
      <c r="H344" s="24" t="e">
        <f t="shared" si="119"/>
        <v>#DIV/0!</v>
      </c>
      <c r="I344" s="225" t="s">
        <v>469</v>
      </c>
      <c r="J344" s="175"/>
    </row>
    <row r="345" spans="1:10" s="176" customFormat="1" hidden="1" x14ac:dyDescent="0.25">
      <c r="A345" s="40"/>
      <c r="B345" s="43">
        <v>5</v>
      </c>
      <c r="C345" s="185" t="s">
        <v>204</v>
      </c>
      <c r="D345" s="191">
        <f>SUM(D346:D346)</f>
        <v>0</v>
      </c>
      <c r="E345" s="191"/>
      <c r="F345" s="191">
        <f t="shared" ref="F345:G345" si="122">SUM(F346:F346)</f>
        <v>0</v>
      </c>
      <c r="G345" s="191">
        <f t="shared" si="122"/>
        <v>0</v>
      </c>
      <c r="H345" s="236" t="e">
        <f t="shared" si="119"/>
        <v>#DIV/0!</v>
      </c>
      <c r="I345" s="223"/>
      <c r="J345" s="175"/>
    </row>
    <row r="346" spans="1:10" s="176" customFormat="1" hidden="1" x14ac:dyDescent="0.25">
      <c r="A346" s="40"/>
      <c r="B346" s="190" t="s">
        <v>545</v>
      </c>
      <c r="C346" s="47" t="s">
        <v>394</v>
      </c>
      <c r="D346" s="192"/>
      <c r="E346" s="192"/>
      <c r="F346" s="192"/>
      <c r="G346" s="192">
        <f>E346+F346</f>
        <v>0</v>
      </c>
      <c r="H346" s="24" t="e">
        <f t="shared" si="119"/>
        <v>#DIV/0!</v>
      </c>
      <c r="I346" s="225"/>
      <c r="J346" s="175"/>
    </row>
    <row r="347" spans="1:10" s="176" customFormat="1" hidden="1" x14ac:dyDescent="0.25">
      <c r="A347" s="40"/>
      <c r="B347" s="43">
        <v>6</v>
      </c>
      <c r="C347" s="185" t="s">
        <v>205</v>
      </c>
      <c r="D347" s="191">
        <f>SUM(D348:D348)</f>
        <v>0</v>
      </c>
      <c r="E347" s="191">
        <f t="shared" ref="E347:G347" si="123">SUM(E348:E348)</f>
        <v>0</v>
      </c>
      <c r="F347" s="191">
        <f t="shared" si="123"/>
        <v>0</v>
      </c>
      <c r="G347" s="191">
        <f t="shared" si="123"/>
        <v>0</v>
      </c>
      <c r="H347" s="253" t="e">
        <f t="shared" si="119"/>
        <v>#DIV/0!</v>
      </c>
      <c r="I347" s="223"/>
      <c r="J347" s="175"/>
    </row>
    <row r="348" spans="1:10" s="176" customFormat="1" hidden="1" x14ac:dyDescent="0.25">
      <c r="A348" s="40"/>
      <c r="B348" s="190" t="s">
        <v>376</v>
      </c>
      <c r="C348" s="48" t="s">
        <v>395</v>
      </c>
      <c r="D348" s="192">
        <v>0</v>
      </c>
      <c r="E348" s="192"/>
      <c r="F348" s="192"/>
      <c r="G348" s="192">
        <f>E348+F348</f>
        <v>0</v>
      </c>
      <c r="H348" s="252" t="e">
        <f t="shared" si="119"/>
        <v>#DIV/0!</v>
      </c>
      <c r="I348" s="225"/>
      <c r="J348" s="175"/>
    </row>
    <row r="349" spans="1:10" s="176" customFormat="1" hidden="1" x14ac:dyDescent="0.25">
      <c r="A349" s="40"/>
      <c r="B349" s="46">
        <v>7</v>
      </c>
      <c r="C349" s="170" t="s">
        <v>206</v>
      </c>
      <c r="D349" s="191">
        <f>D350</f>
        <v>0</v>
      </c>
      <c r="E349" s="191"/>
      <c r="F349" s="191">
        <f t="shared" ref="F349:G349" si="124">F350</f>
        <v>0</v>
      </c>
      <c r="G349" s="191">
        <f t="shared" si="124"/>
        <v>0</v>
      </c>
      <c r="H349" s="236" t="e">
        <f t="shared" si="119"/>
        <v>#DIV/0!</v>
      </c>
      <c r="I349" s="225"/>
      <c r="J349" s="175"/>
    </row>
    <row r="350" spans="1:10" s="176" customFormat="1" hidden="1" x14ac:dyDescent="0.25">
      <c r="A350" s="40"/>
      <c r="B350" s="190" t="s">
        <v>546</v>
      </c>
      <c r="C350" s="48" t="s">
        <v>207</v>
      </c>
      <c r="D350" s="192"/>
      <c r="E350" s="192"/>
      <c r="F350" s="192"/>
      <c r="G350" s="192">
        <f>E350+F350</f>
        <v>0</v>
      </c>
      <c r="H350" s="24" t="e">
        <f t="shared" si="119"/>
        <v>#DIV/0!</v>
      </c>
      <c r="I350" s="225" t="s">
        <v>469</v>
      </c>
      <c r="J350" s="175"/>
    </row>
    <row r="351" spans="1:10" s="176" customFormat="1" hidden="1" x14ac:dyDescent="0.25">
      <c r="A351" s="40"/>
      <c r="B351" s="46"/>
      <c r="C351" s="49"/>
      <c r="D351" s="50"/>
      <c r="E351" s="50"/>
      <c r="F351" s="50"/>
      <c r="G351" s="191"/>
      <c r="H351" s="236"/>
      <c r="I351" s="223"/>
      <c r="J351" s="175"/>
    </row>
    <row r="352" spans="1:10" s="176" customFormat="1" ht="36.75" hidden="1" customHeight="1" x14ac:dyDescent="0.25">
      <c r="A352" s="293"/>
      <c r="B352" s="262" t="s">
        <v>415</v>
      </c>
      <c r="C352" s="41" t="s">
        <v>208</v>
      </c>
      <c r="D352" s="42">
        <f>SUM(D353+D355+D357+D360+D362+D364)</f>
        <v>0</v>
      </c>
      <c r="E352" s="42"/>
      <c r="F352" s="42">
        <f>SUM(F353+F355+F357+F360+F362+F364)</f>
        <v>0</v>
      </c>
      <c r="G352" s="42">
        <f t="shared" ref="G352:G365" si="125">F352-D352</f>
        <v>0</v>
      </c>
      <c r="H352" s="237"/>
      <c r="I352" s="226"/>
      <c r="J352" s="175"/>
    </row>
    <row r="353" spans="1:10" s="176" customFormat="1" hidden="1" x14ac:dyDescent="0.25">
      <c r="A353" s="40"/>
      <c r="B353" s="51">
        <v>1</v>
      </c>
      <c r="C353" s="35" t="s">
        <v>209</v>
      </c>
      <c r="D353" s="191">
        <f>SUM(D354:D354)</f>
        <v>0</v>
      </c>
      <c r="E353" s="191"/>
      <c r="F353" s="191">
        <f>SUM(F354:F354)</f>
        <v>0</v>
      </c>
      <c r="G353" s="191">
        <f t="shared" si="125"/>
        <v>0</v>
      </c>
      <c r="H353" s="236"/>
      <c r="I353" s="224"/>
      <c r="J353" s="175"/>
    </row>
    <row r="354" spans="1:10" s="176" customFormat="1" hidden="1" x14ac:dyDescent="0.25">
      <c r="A354" s="40"/>
      <c r="B354" s="190" t="s">
        <v>380</v>
      </c>
      <c r="C354" s="193" t="s">
        <v>210</v>
      </c>
      <c r="D354" s="192">
        <v>0</v>
      </c>
      <c r="E354" s="192"/>
      <c r="F354" s="192">
        <v>0</v>
      </c>
      <c r="G354" s="192">
        <f t="shared" si="125"/>
        <v>0</v>
      </c>
      <c r="H354" s="24"/>
      <c r="I354" s="225"/>
      <c r="J354" s="175"/>
    </row>
    <row r="355" spans="1:10" s="176" customFormat="1" hidden="1" x14ac:dyDescent="0.25">
      <c r="A355" s="40"/>
      <c r="B355" s="51">
        <v>2</v>
      </c>
      <c r="C355" s="35" t="s">
        <v>211</v>
      </c>
      <c r="D355" s="191">
        <f>SUM(D356)</f>
        <v>0</v>
      </c>
      <c r="E355" s="191"/>
      <c r="F355" s="191">
        <f>SUM(F356)</f>
        <v>0</v>
      </c>
      <c r="G355" s="191">
        <f t="shared" si="125"/>
        <v>0</v>
      </c>
      <c r="H355" s="236"/>
      <c r="I355" s="224"/>
      <c r="J355" s="175"/>
    </row>
    <row r="356" spans="1:10" s="176" customFormat="1" hidden="1" x14ac:dyDescent="0.25">
      <c r="A356" s="40"/>
      <c r="B356" s="190" t="s">
        <v>383</v>
      </c>
      <c r="C356" s="193" t="s">
        <v>194</v>
      </c>
      <c r="D356" s="192">
        <v>0</v>
      </c>
      <c r="E356" s="192"/>
      <c r="F356" s="192">
        <v>0</v>
      </c>
      <c r="G356" s="192">
        <f t="shared" si="125"/>
        <v>0</v>
      </c>
      <c r="H356" s="24"/>
      <c r="I356" s="225"/>
      <c r="J356" s="175"/>
    </row>
    <row r="357" spans="1:10" s="176" customFormat="1" hidden="1" x14ac:dyDescent="0.25">
      <c r="A357" s="40"/>
      <c r="B357" s="51">
        <v>3</v>
      </c>
      <c r="C357" s="185" t="s">
        <v>172</v>
      </c>
      <c r="D357" s="191">
        <f>SUM(D358:D359)</f>
        <v>0</v>
      </c>
      <c r="E357" s="191"/>
      <c r="F357" s="191">
        <f>SUM(F358:F359)</f>
        <v>0</v>
      </c>
      <c r="G357" s="191">
        <f t="shared" si="125"/>
        <v>0</v>
      </c>
      <c r="H357" s="236"/>
      <c r="I357" s="224"/>
      <c r="J357" s="175"/>
    </row>
    <row r="358" spans="1:10" s="176" customFormat="1" hidden="1" x14ac:dyDescent="0.25">
      <c r="A358" s="40"/>
      <c r="B358" s="190" t="s">
        <v>377</v>
      </c>
      <c r="C358" s="193" t="s">
        <v>174</v>
      </c>
      <c r="D358" s="192"/>
      <c r="E358" s="192"/>
      <c r="F358" s="192"/>
      <c r="G358" s="192">
        <f t="shared" si="125"/>
        <v>0</v>
      </c>
      <c r="H358" s="24"/>
      <c r="I358" s="225"/>
      <c r="J358" s="175"/>
    </row>
    <row r="359" spans="1:10" s="176" customFormat="1" hidden="1" x14ac:dyDescent="0.25">
      <c r="A359" s="40"/>
      <c r="B359" s="190" t="s">
        <v>378</v>
      </c>
      <c r="C359" s="193" t="s">
        <v>175</v>
      </c>
      <c r="D359" s="192"/>
      <c r="E359" s="192"/>
      <c r="F359" s="192"/>
      <c r="G359" s="192">
        <f t="shared" si="125"/>
        <v>0</v>
      </c>
      <c r="H359" s="24"/>
      <c r="I359" s="225"/>
      <c r="J359" s="175"/>
    </row>
    <row r="360" spans="1:10" s="176" customFormat="1" hidden="1" x14ac:dyDescent="0.25">
      <c r="A360" s="40"/>
      <c r="B360" s="51">
        <v>4</v>
      </c>
      <c r="C360" s="35" t="s">
        <v>212</v>
      </c>
      <c r="D360" s="191">
        <f>D361</f>
        <v>0</v>
      </c>
      <c r="E360" s="191"/>
      <c r="F360" s="191">
        <f>F361</f>
        <v>0</v>
      </c>
      <c r="G360" s="191">
        <f t="shared" si="125"/>
        <v>0</v>
      </c>
      <c r="H360" s="236"/>
      <c r="I360" s="225"/>
      <c r="J360" s="175"/>
    </row>
    <row r="361" spans="1:10" s="176" customFormat="1" hidden="1" x14ac:dyDescent="0.25">
      <c r="A361" s="40"/>
      <c r="B361" s="190" t="s">
        <v>381</v>
      </c>
      <c r="C361" s="193" t="s">
        <v>189</v>
      </c>
      <c r="D361" s="191">
        <v>0</v>
      </c>
      <c r="E361" s="191"/>
      <c r="F361" s="191">
        <v>0</v>
      </c>
      <c r="G361" s="192">
        <f t="shared" si="125"/>
        <v>0</v>
      </c>
      <c r="H361" s="236"/>
      <c r="I361" s="225"/>
      <c r="J361" s="175"/>
    </row>
    <row r="362" spans="1:10" s="176" customFormat="1" hidden="1" x14ac:dyDescent="0.25">
      <c r="A362" s="40"/>
      <c r="B362" s="51">
        <v>5</v>
      </c>
      <c r="C362" s="35" t="s">
        <v>213</v>
      </c>
      <c r="D362" s="191">
        <f>SUM(D363:D363)</f>
        <v>0</v>
      </c>
      <c r="E362" s="191"/>
      <c r="F362" s="191">
        <f>SUM(F363:F363)</f>
        <v>0</v>
      </c>
      <c r="G362" s="191">
        <f t="shared" si="125"/>
        <v>0</v>
      </c>
      <c r="H362" s="236"/>
      <c r="I362" s="224"/>
      <c r="J362" s="175"/>
    </row>
    <row r="363" spans="1:10" s="176" customFormat="1" hidden="1" x14ac:dyDescent="0.25">
      <c r="A363" s="40"/>
      <c r="B363" s="190" t="s">
        <v>382</v>
      </c>
      <c r="C363" s="193" t="s">
        <v>187</v>
      </c>
      <c r="D363" s="192">
        <v>0</v>
      </c>
      <c r="E363" s="192"/>
      <c r="F363" s="192">
        <v>0</v>
      </c>
      <c r="G363" s="192">
        <f t="shared" si="125"/>
        <v>0</v>
      </c>
      <c r="H363" s="24"/>
      <c r="I363" s="225"/>
      <c r="J363" s="175"/>
    </row>
    <row r="364" spans="1:10" s="176" customFormat="1" hidden="1" x14ac:dyDescent="0.25">
      <c r="A364" s="40"/>
      <c r="B364" s="51">
        <v>6</v>
      </c>
      <c r="C364" s="35" t="s">
        <v>214</v>
      </c>
      <c r="D364" s="191">
        <f>SUM(D365:D365)</f>
        <v>0</v>
      </c>
      <c r="E364" s="191"/>
      <c r="F364" s="191">
        <f>SUM(F365:F365)</f>
        <v>0</v>
      </c>
      <c r="G364" s="191">
        <f t="shared" si="125"/>
        <v>0</v>
      </c>
      <c r="H364" s="236"/>
      <c r="I364" s="224"/>
      <c r="J364" s="175"/>
    </row>
    <row r="365" spans="1:10" s="176" customFormat="1" hidden="1" x14ac:dyDescent="0.25">
      <c r="A365" s="40"/>
      <c r="B365" s="190" t="s">
        <v>379</v>
      </c>
      <c r="C365" s="193" t="s">
        <v>215</v>
      </c>
      <c r="D365" s="192"/>
      <c r="E365" s="192"/>
      <c r="F365" s="192"/>
      <c r="G365" s="192">
        <f t="shared" si="125"/>
        <v>0</v>
      </c>
      <c r="H365" s="24"/>
      <c r="I365" s="225"/>
      <c r="J365" s="175"/>
    </row>
    <row r="366" spans="1:10" s="176" customFormat="1" x14ac:dyDescent="0.25">
      <c r="A366" s="40"/>
      <c r="B366" s="178"/>
      <c r="C366" s="183"/>
      <c r="D366" s="192"/>
      <c r="E366" s="192"/>
      <c r="F366" s="192"/>
      <c r="G366" s="191"/>
      <c r="H366" s="236"/>
      <c r="I366" s="224"/>
      <c r="J366" s="175"/>
    </row>
    <row r="367" spans="1:10" s="176" customFormat="1" ht="25.5" customHeight="1" x14ac:dyDescent="0.25">
      <c r="A367" s="138" t="s">
        <v>235</v>
      </c>
      <c r="B367" s="139" t="s">
        <v>384</v>
      </c>
      <c r="C367" s="140" t="s">
        <v>385</v>
      </c>
      <c r="D367" s="141">
        <f>SUM(D369+D371+M374+D374+D377+D380+D383+D386+D394+D397+D400+D403+D406+D409)</f>
        <v>121905428010</v>
      </c>
      <c r="E367" s="141">
        <f t="shared" ref="E367:G367" si="126">SUM(E369+E371+N374+E374+E377+E380+E383+E386+E394+E397+E400+E403+E406+E409)</f>
        <v>1057600000</v>
      </c>
      <c r="F367" s="141">
        <f t="shared" si="126"/>
        <v>16977199460</v>
      </c>
      <c r="G367" s="141">
        <f t="shared" si="126"/>
        <v>18034799460</v>
      </c>
      <c r="H367" s="240">
        <f>G367/D367</f>
        <v>0.14794090594982032</v>
      </c>
      <c r="I367" s="225" t="s">
        <v>216</v>
      </c>
      <c r="J367" s="175"/>
    </row>
    <row r="368" spans="1:10" s="176" customFormat="1" ht="21" customHeight="1" x14ac:dyDescent="0.25">
      <c r="A368" s="40"/>
      <c r="B368" s="167" t="s">
        <v>19</v>
      </c>
      <c r="C368" s="185" t="s">
        <v>635</v>
      </c>
      <c r="D368" s="191">
        <f>D369</f>
        <v>50738030000</v>
      </c>
      <c r="E368" s="191">
        <f t="shared" ref="E368:G368" si="127">E369</f>
        <v>0</v>
      </c>
      <c r="F368" s="191">
        <f t="shared" si="127"/>
        <v>0</v>
      </c>
      <c r="G368" s="191">
        <f t="shared" si="127"/>
        <v>0</v>
      </c>
      <c r="H368" s="236">
        <f>G368/D368</f>
        <v>0</v>
      </c>
      <c r="I368" s="225" t="s">
        <v>218</v>
      </c>
      <c r="J368" s="175"/>
    </row>
    <row r="369" spans="1:10" s="176" customFormat="1" ht="21" customHeight="1" x14ac:dyDescent="0.25">
      <c r="A369" s="40"/>
      <c r="B369" s="190" t="s">
        <v>634</v>
      </c>
      <c r="C369" s="183" t="s">
        <v>636</v>
      </c>
      <c r="D369" s="192">
        <v>50738030000</v>
      </c>
      <c r="E369" s="192">
        <f>'Realisasi April'!G365</f>
        <v>0</v>
      </c>
      <c r="F369" s="192"/>
      <c r="G369" s="192">
        <f>E369+F369</f>
        <v>0</v>
      </c>
      <c r="H369" s="24">
        <f>G369/D369</f>
        <v>0</v>
      </c>
      <c r="I369" s="225"/>
      <c r="J369" s="175"/>
    </row>
    <row r="370" spans="1:10" s="176" customFormat="1" ht="25.5" customHeight="1" x14ac:dyDescent="0.25">
      <c r="A370" s="169"/>
      <c r="B370" s="189"/>
      <c r="C370" s="185"/>
      <c r="D370" s="191"/>
      <c r="E370" s="192"/>
      <c r="F370" s="191"/>
      <c r="G370" s="191"/>
      <c r="H370" s="236"/>
      <c r="I370" s="225"/>
      <c r="J370" s="175"/>
    </row>
    <row r="371" spans="1:10" s="176" customFormat="1" ht="21" customHeight="1" x14ac:dyDescent="0.25">
      <c r="A371" s="40"/>
      <c r="B371" s="167" t="s">
        <v>39</v>
      </c>
      <c r="C371" s="185" t="s">
        <v>638</v>
      </c>
      <c r="D371" s="191">
        <f>D372</f>
        <v>1125000000</v>
      </c>
      <c r="E371" s="191">
        <f>'Realisasi April'!G367</f>
        <v>0</v>
      </c>
      <c r="F371" s="191">
        <f t="shared" ref="F371:G371" si="128">F372</f>
        <v>0</v>
      </c>
      <c r="G371" s="191">
        <f t="shared" si="128"/>
        <v>0</v>
      </c>
      <c r="H371" s="236">
        <f>G371/D371</f>
        <v>0</v>
      </c>
      <c r="I371" s="225" t="s">
        <v>218</v>
      </c>
      <c r="J371" s="175"/>
    </row>
    <row r="372" spans="1:10" s="176" customFormat="1" ht="21" customHeight="1" x14ac:dyDescent="0.25">
      <c r="A372" s="40"/>
      <c r="B372" s="190" t="s">
        <v>637</v>
      </c>
      <c r="C372" s="183" t="s">
        <v>639</v>
      </c>
      <c r="D372" s="192">
        <v>1125000000</v>
      </c>
      <c r="E372" s="192">
        <f>'Realisasi April'!G368</f>
        <v>0</v>
      </c>
      <c r="F372" s="192"/>
      <c r="G372" s="192">
        <f>E372+F372</f>
        <v>0</v>
      </c>
      <c r="H372" s="24">
        <f>G372/D372</f>
        <v>0</v>
      </c>
      <c r="I372" s="225"/>
      <c r="J372" s="175"/>
    </row>
    <row r="373" spans="1:10" s="176" customFormat="1" ht="21" customHeight="1" x14ac:dyDescent="0.25">
      <c r="A373" s="40"/>
      <c r="B373" s="190"/>
      <c r="C373" s="183"/>
      <c r="D373" s="192"/>
      <c r="E373" s="192"/>
      <c r="F373" s="192"/>
      <c r="G373" s="192"/>
      <c r="H373" s="24"/>
      <c r="I373" s="225"/>
      <c r="J373" s="175"/>
    </row>
    <row r="374" spans="1:10" s="176" customFormat="1" ht="21" customHeight="1" x14ac:dyDescent="0.25">
      <c r="A374" s="40"/>
      <c r="B374" s="167" t="s">
        <v>19</v>
      </c>
      <c r="C374" s="185" t="s">
        <v>217</v>
      </c>
      <c r="D374" s="191">
        <f>D375</f>
        <v>2661700000</v>
      </c>
      <c r="E374" s="191">
        <f>'Realisasi April'!G370</f>
        <v>0</v>
      </c>
      <c r="F374" s="191">
        <f t="shared" ref="F374:G374" si="129">F375</f>
        <v>0</v>
      </c>
      <c r="G374" s="191">
        <f t="shared" si="129"/>
        <v>0</v>
      </c>
      <c r="H374" s="236">
        <f>G374/D374</f>
        <v>0</v>
      </c>
      <c r="I374" s="225" t="s">
        <v>218</v>
      </c>
      <c r="J374" s="175"/>
    </row>
    <row r="375" spans="1:10" s="176" customFormat="1" ht="21" customHeight="1" x14ac:dyDescent="0.25">
      <c r="A375" s="40"/>
      <c r="B375" s="190" t="s">
        <v>547</v>
      </c>
      <c r="C375" s="183" t="s">
        <v>217</v>
      </c>
      <c r="D375" s="192">
        <v>2661700000</v>
      </c>
      <c r="E375" s="192">
        <f>'Realisasi April'!G371</f>
        <v>0</v>
      </c>
      <c r="F375" s="192"/>
      <c r="G375" s="192">
        <f>E375+F375</f>
        <v>0</v>
      </c>
      <c r="H375" s="24">
        <f>G375/D375</f>
        <v>0</v>
      </c>
      <c r="I375" s="225"/>
      <c r="J375" s="175"/>
    </row>
    <row r="376" spans="1:10" s="176" customFormat="1" ht="21" customHeight="1" x14ac:dyDescent="0.25">
      <c r="A376" s="40"/>
      <c r="B376" s="190"/>
      <c r="C376" s="183"/>
      <c r="D376" s="192"/>
      <c r="E376" s="192"/>
      <c r="F376" s="192"/>
      <c r="G376" s="192"/>
      <c r="H376" s="236"/>
      <c r="I376" s="225"/>
      <c r="J376" s="175"/>
    </row>
    <row r="377" spans="1:10" s="176" customFormat="1" ht="21" customHeight="1" x14ac:dyDescent="0.25">
      <c r="A377" s="40"/>
      <c r="B377" s="167" t="s">
        <v>39</v>
      </c>
      <c r="C377" s="185" t="s">
        <v>219</v>
      </c>
      <c r="D377" s="191">
        <f>D378</f>
        <v>747200000</v>
      </c>
      <c r="E377" s="192">
        <f>'Realisasi April'!G373</f>
        <v>0</v>
      </c>
      <c r="F377" s="191">
        <f t="shared" ref="F377:G377" si="130">F378</f>
        <v>0</v>
      </c>
      <c r="G377" s="191">
        <f t="shared" si="130"/>
        <v>0</v>
      </c>
      <c r="H377" s="236">
        <f>G377/D377</f>
        <v>0</v>
      </c>
      <c r="I377" s="225" t="s">
        <v>218</v>
      </c>
      <c r="J377" s="175"/>
    </row>
    <row r="378" spans="1:10" s="176" customFormat="1" ht="21" customHeight="1" x14ac:dyDescent="0.25">
      <c r="A378" s="40"/>
      <c r="B378" s="190" t="s">
        <v>548</v>
      </c>
      <c r="C378" s="183" t="s">
        <v>219</v>
      </c>
      <c r="D378" s="192">
        <v>747200000</v>
      </c>
      <c r="E378" s="192">
        <f>'Realisasi April'!G374</f>
        <v>0</v>
      </c>
      <c r="F378" s="192"/>
      <c r="G378" s="192">
        <f>E378+F378</f>
        <v>0</v>
      </c>
      <c r="H378" s="24">
        <f>G378/D378</f>
        <v>0</v>
      </c>
      <c r="I378" s="225"/>
      <c r="J378" s="175"/>
    </row>
    <row r="379" spans="1:10" s="176" customFormat="1" ht="21" customHeight="1" x14ac:dyDescent="0.25">
      <c r="A379" s="40"/>
      <c r="B379" s="190"/>
      <c r="C379" s="183"/>
      <c r="D379" s="191"/>
      <c r="E379" s="191"/>
      <c r="F379" s="191"/>
      <c r="G379" s="192"/>
      <c r="H379" s="236"/>
      <c r="I379" s="225"/>
      <c r="J379" s="175"/>
    </row>
    <row r="380" spans="1:10" s="176" customFormat="1" x14ac:dyDescent="0.25">
      <c r="A380" s="40"/>
      <c r="B380" s="167" t="s">
        <v>46</v>
      </c>
      <c r="C380" s="35" t="s">
        <v>220</v>
      </c>
      <c r="D380" s="191">
        <f>SUM(D381)</f>
        <v>55849895230</v>
      </c>
      <c r="E380" s="191"/>
      <c r="F380" s="191">
        <f t="shared" ref="F380:G380" si="131">SUM(F381)</f>
        <v>16117233000</v>
      </c>
      <c r="G380" s="191">
        <f t="shared" si="131"/>
        <v>16117233000</v>
      </c>
      <c r="H380" s="236">
        <f>G380/D380</f>
        <v>0.28858125755878877</v>
      </c>
      <c r="I380" s="223"/>
      <c r="J380" s="175"/>
    </row>
    <row r="381" spans="1:10" s="176" customFormat="1" x14ac:dyDescent="0.25">
      <c r="A381" s="40"/>
      <c r="B381" s="190" t="s">
        <v>549</v>
      </c>
      <c r="C381" s="193" t="s">
        <v>220</v>
      </c>
      <c r="D381" s="192">
        <v>55849895230</v>
      </c>
      <c r="E381" s="192"/>
      <c r="F381" s="192">
        <v>16117233000</v>
      </c>
      <c r="G381" s="192">
        <f>E381+F381</f>
        <v>16117233000</v>
      </c>
      <c r="H381" s="24">
        <f>G381/D381</f>
        <v>0.28858125755878877</v>
      </c>
      <c r="I381" s="225" t="s">
        <v>218</v>
      </c>
      <c r="J381" s="175"/>
    </row>
    <row r="382" spans="1:10" s="176" customFormat="1" x14ac:dyDescent="0.25">
      <c r="A382" s="40"/>
      <c r="B382" s="190"/>
      <c r="C382" s="193"/>
      <c r="D382" s="192"/>
      <c r="E382" s="192"/>
      <c r="F382" s="192"/>
      <c r="G382" s="192"/>
      <c r="H382" s="24"/>
      <c r="I382" s="225"/>
      <c r="J382" s="175"/>
    </row>
    <row r="383" spans="1:10" s="176" customFormat="1" x14ac:dyDescent="0.25">
      <c r="A383" s="40"/>
      <c r="B383" s="167" t="s">
        <v>8</v>
      </c>
      <c r="C383" s="35" t="s">
        <v>221</v>
      </c>
      <c r="D383" s="191">
        <f>SUM(D384)</f>
        <v>2296500000</v>
      </c>
      <c r="E383" s="191">
        <f>E384</f>
        <v>681300000</v>
      </c>
      <c r="F383" s="191">
        <f t="shared" ref="F383:G383" si="132">SUM(F384)</f>
        <v>0</v>
      </c>
      <c r="G383" s="191">
        <f t="shared" si="132"/>
        <v>681300000</v>
      </c>
      <c r="H383" s="236">
        <f>G383/D383</f>
        <v>0.29666884389288045</v>
      </c>
      <c r="I383" s="223"/>
      <c r="J383" s="175"/>
    </row>
    <row r="384" spans="1:10" s="176" customFormat="1" x14ac:dyDescent="0.25">
      <c r="A384" s="40"/>
      <c r="B384" s="190" t="s">
        <v>550</v>
      </c>
      <c r="C384" s="193" t="s">
        <v>221</v>
      </c>
      <c r="D384" s="192">
        <v>2296500000</v>
      </c>
      <c r="E384" s="192">
        <f>'Realisasi April'!G380</f>
        <v>681300000</v>
      </c>
      <c r="F384" s="192"/>
      <c r="G384" s="192">
        <f>E384+F384</f>
        <v>681300000</v>
      </c>
      <c r="H384" s="24">
        <f>G384/D384</f>
        <v>0.29666884389288045</v>
      </c>
      <c r="I384" s="225" t="s">
        <v>218</v>
      </c>
      <c r="J384" s="175"/>
    </row>
    <row r="385" spans="1:10" s="176" customFormat="1" x14ac:dyDescent="0.25">
      <c r="A385" s="40"/>
      <c r="B385" s="190"/>
      <c r="C385" s="193"/>
      <c r="D385" s="192"/>
      <c r="E385" s="192"/>
      <c r="F385" s="192"/>
      <c r="G385" s="192"/>
      <c r="H385" s="24"/>
      <c r="I385" s="225"/>
      <c r="J385" s="175"/>
    </row>
    <row r="386" spans="1:10" s="176" customFormat="1" x14ac:dyDescent="0.25">
      <c r="A386" s="40"/>
      <c r="B386" s="167" t="s">
        <v>49</v>
      </c>
      <c r="C386" s="35" t="s">
        <v>222</v>
      </c>
      <c r="D386" s="191">
        <f>SUM(D387:D392)</f>
        <v>7190684820</v>
      </c>
      <c r="E386" s="191"/>
      <c r="F386" s="191">
        <f t="shared" ref="F386:G386" si="133">SUM(F387:F392)</f>
        <v>807000400</v>
      </c>
      <c r="G386" s="191">
        <f t="shared" si="133"/>
        <v>807000400</v>
      </c>
      <c r="H386" s="236">
        <f>G386/D386</f>
        <v>0.1122285874295906</v>
      </c>
      <c r="I386" s="227"/>
      <c r="J386" s="175"/>
    </row>
    <row r="387" spans="1:10" s="176" customFormat="1" x14ac:dyDescent="0.25">
      <c r="A387" s="40"/>
      <c r="B387" s="190" t="s">
        <v>551</v>
      </c>
      <c r="C387" s="193" t="s">
        <v>223</v>
      </c>
      <c r="D387" s="192">
        <v>1403459600</v>
      </c>
      <c r="E387" s="192"/>
      <c r="F387" s="192"/>
      <c r="G387" s="192">
        <f>E387+F387</f>
        <v>0</v>
      </c>
      <c r="H387" s="24">
        <f>G387/D387</f>
        <v>0</v>
      </c>
      <c r="I387" s="225" t="s">
        <v>218</v>
      </c>
      <c r="J387" s="175"/>
    </row>
    <row r="388" spans="1:10" s="176" customFormat="1" x14ac:dyDescent="0.25">
      <c r="A388" s="40"/>
      <c r="B388" s="190" t="s">
        <v>552</v>
      </c>
      <c r="C388" s="193" t="s">
        <v>227</v>
      </c>
      <c r="D388" s="192">
        <v>459094000</v>
      </c>
      <c r="E388" s="192"/>
      <c r="F388" s="192"/>
      <c r="G388" s="192">
        <f t="shared" ref="G388:G395" si="134">E388+F388</f>
        <v>0</v>
      </c>
      <c r="H388" s="24">
        <f>G388/D388</f>
        <v>0</v>
      </c>
      <c r="I388" s="225" t="s">
        <v>216</v>
      </c>
      <c r="J388" s="175"/>
    </row>
    <row r="389" spans="1:10" s="176" customFormat="1" x14ac:dyDescent="0.25">
      <c r="A389" s="40"/>
      <c r="B389" s="190" t="s">
        <v>553</v>
      </c>
      <c r="C389" s="193" t="s">
        <v>224</v>
      </c>
      <c r="D389" s="192">
        <v>3080905120</v>
      </c>
      <c r="E389" s="192"/>
      <c r="F389" s="192"/>
      <c r="G389" s="192">
        <f t="shared" si="134"/>
        <v>0</v>
      </c>
      <c r="H389" s="24">
        <f>G389/D389</f>
        <v>0</v>
      </c>
      <c r="I389" s="225" t="s">
        <v>218</v>
      </c>
      <c r="J389" s="175"/>
    </row>
    <row r="390" spans="1:10" s="176" customFormat="1" ht="18" hidden="1" customHeight="1" x14ac:dyDescent="0.25">
      <c r="A390" s="40"/>
      <c r="B390" s="52"/>
      <c r="C390" s="193" t="s">
        <v>225</v>
      </c>
      <c r="D390" s="192"/>
      <c r="E390" s="192"/>
      <c r="F390" s="192"/>
      <c r="G390" s="192">
        <f t="shared" si="134"/>
        <v>0</v>
      </c>
      <c r="H390" s="24">
        <v>0</v>
      </c>
      <c r="I390" s="223"/>
      <c r="J390" s="175"/>
    </row>
    <row r="391" spans="1:10" s="176" customFormat="1" x14ac:dyDescent="0.25">
      <c r="A391" s="40"/>
      <c r="B391" s="190" t="s">
        <v>554</v>
      </c>
      <c r="C391" s="193" t="s">
        <v>226</v>
      </c>
      <c r="D391" s="192">
        <v>113748200</v>
      </c>
      <c r="E391" s="192"/>
      <c r="F391" s="192"/>
      <c r="G391" s="192">
        <f t="shared" si="134"/>
        <v>0</v>
      </c>
      <c r="H391" s="24">
        <f>G391/D391</f>
        <v>0</v>
      </c>
      <c r="I391" s="225" t="s">
        <v>216</v>
      </c>
      <c r="J391" s="175"/>
    </row>
    <row r="392" spans="1:10" s="176" customFormat="1" x14ac:dyDescent="0.25">
      <c r="A392" s="40"/>
      <c r="B392" s="190" t="s">
        <v>386</v>
      </c>
      <c r="C392" s="193" t="s">
        <v>228</v>
      </c>
      <c r="D392" s="192">
        <v>2133477900</v>
      </c>
      <c r="E392" s="192"/>
      <c r="F392" s="192">
        <v>807000400</v>
      </c>
      <c r="G392" s="192">
        <f t="shared" si="134"/>
        <v>807000400</v>
      </c>
      <c r="H392" s="24">
        <f>G392/D392</f>
        <v>0.37825580475898063</v>
      </c>
      <c r="I392" s="225" t="s">
        <v>216</v>
      </c>
      <c r="J392" s="175"/>
    </row>
    <row r="393" spans="1:10" s="176" customFormat="1" x14ac:dyDescent="0.25">
      <c r="A393" s="40"/>
      <c r="B393" s="190"/>
      <c r="C393" s="193"/>
      <c r="D393" s="192"/>
      <c r="E393" s="192"/>
      <c r="F393" s="192"/>
      <c r="G393" s="192">
        <f t="shared" si="134"/>
        <v>0</v>
      </c>
      <c r="H393" s="24"/>
      <c r="I393" s="225"/>
      <c r="J393" s="175"/>
    </row>
    <row r="394" spans="1:10" s="176" customFormat="1" x14ac:dyDescent="0.25">
      <c r="A394" s="40"/>
      <c r="B394" s="167" t="s">
        <v>53</v>
      </c>
      <c r="C394" s="35" t="s">
        <v>229</v>
      </c>
      <c r="D394" s="191">
        <f>SUM(D395)</f>
        <v>0</v>
      </c>
      <c r="E394" s="191"/>
      <c r="F394" s="191">
        <f>SUM(F395)</f>
        <v>0</v>
      </c>
      <c r="G394" s="192">
        <f t="shared" si="134"/>
        <v>0</v>
      </c>
      <c r="H394" s="253" t="e">
        <f>G394/D394</f>
        <v>#DIV/0!</v>
      </c>
      <c r="I394" s="223"/>
      <c r="J394" s="175"/>
    </row>
    <row r="395" spans="1:10" s="176" customFormat="1" x14ac:dyDescent="0.25">
      <c r="A395" s="40"/>
      <c r="B395" s="190" t="s">
        <v>387</v>
      </c>
      <c r="C395" s="193" t="s">
        <v>229</v>
      </c>
      <c r="D395" s="192">
        <v>0</v>
      </c>
      <c r="E395" s="192"/>
      <c r="F395" s="192"/>
      <c r="G395" s="192">
        <f t="shared" si="134"/>
        <v>0</v>
      </c>
      <c r="H395" s="252" t="e">
        <f>G395/D395</f>
        <v>#DIV/0!</v>
      </c>
      <c r="I395" s="225" t="s">
        <v>216</v>
      </c>
      <c r="J395" s="175"/>
    </row>
    <row r="396" spans="1:10" s="176" customFormat="1" x14ac:dyDescent="0.25">
      <c r="A396" s="40"/>
      <c r="B396" s="190"/>
      <c r="C396" s="193"/>
      <c r="D396" s="192"/>
      <c r="E396" s="192"/>
      <c r="F396" s="192"/>
      <c r="G396" s="192"/>
      <c r="H396" s="24"/>
      <c r="I396" s="225"/>
      <c r="J396" s="175"/>
    </row>
    <row r="397" spans="1:10" s="176" customFormat="1" x14ac:dyDescent="0.25">
      <c r="A397" s="40"/>
      <c r="B397" s="167" t="s">
        <v>62</v>
      </c>
      <c r="C397" s="35" t="s">
        <v>230</v>
      </c>
      <c r="D397" s="191">
        <f>SUM(D398)</f>
        <v>0</v>
      </c>
      <c r="E397" s="191"/>
      <c r="F397" s="191">
        <f t="shared" ref="F397:G397" si="135">SUM(F398)</f>
        <v>0</v>
      </c>
      <c r="G397" s="191">
        <f t="shared" si="135"/>
        <v>0</v>
      </c>
      <c r="H397" s="236" t="e">
        <f>G397/D397</f>
        <v>#DIV/0!</v>
      </c>
      <c r="I397" s="223"/>
      <c r="J397" s="175"/>
    </row>
    <row r="398" spans="1:10" s="176" customFormat="1" x14ac:dyDescent="0.25">
      <c r="A398" s="40"/>
      <c r="B398" s="190" t="s">
        <v>555</v>
      </c>
      <c r="C398" s="193" t="s">
        <v>230</v>
      </c>
      <c r="D398" s="192"/>
      <c r="E398" s="192"/>
      <c r="F398" s="192"/>
      <c r="G398" s="192">
        <f>E398+F398</f>
        <v>0</v>
      </c>
      <c r="H398" s="24" t="e">
        <f>G398/D398</f>
        <v>#DIV/0!</v>
      </c>
      <c r="I398" s="225" t="s">
        <v>216</v>
      </c>
      <c r="J398" s="175"/>
    </row>
    <row r="399" spans="1:10" s="176" customFormat="1" x14ac:dyDescent="0.25">
      <c r="A399" s="40"/>
      <c r="B399" s="190"/>
      <c r="C399" s="193"/>
      <c r="D399" s="192"/>
      <c r="E399" s="192"/>
      <c r="F399" s="192"/>
      <c r="G399" s="192"/>
      <c r="H399" s="24"/>
      <c r="I399" s="225"/>
      <c r="J399" s="175"/>
    </row>
    <row r="400" spans="1:10" s="176" customFormat="1" x14ac:dyDescent="0.25">
      <c r="A400" s="40"/>
      <c r="B400" s="167" t="s">
        <v>66</v>
      </c>
      <c r="C400" s="35" t="s">
        <v>231</v>
      </c>
      <c r="D400" s="191">
        <f>SUM(D401)</f>
        <v>0</v>
      </c>
      <c r="E400" s="191"/>
      <c r="F400" s="191">
        <f t="shared" ref="F400:G400" si="136">SUM(F401)</f>
        <v>0</v>
      </c>
      <c r="G400" s="191">
        <f t="shared" si="136"/>
        <v>0</v>
      </c>
      <c r="H400" s="236" t="e">
        <f>G400/D400</f>
        <v>#DIV/0!</v>
      </c>
      <c r="I400" s="223"/>
      <c r="J400" s="175"/>
    </row>
    <row r="401" spans="1:14" s="176" customFormat="1" x14ac:dyDescent="0.25">
      <c r="A401" s="40"/>
      <c r="B401" s="190" t="s">
        <v>556</v>
      </c>
      <c r="C401" s="193" t="s">
        <v>231</v>
      </c>
      <c r="D401" s="192"/>
      <c r="E401" s="192"/>
      <c r="F401" s="192"/>
      <c r="G401" s="192">
        <f>E401+F401</f>
        <v>0</v>
      </c>
      <c r="H401" s="24" t="e">
        <f>G401/D401</f>
        <v>#DIV/0!</v>
      </c>
      <c r="I401" s="225" t="s">
        <v>216</v>
      </c>
      <c r="J401" s="175"/>
    </row>
    <row r="402" spans="1:14" s="176" customFormat="1" x14ac:dyDescent="0.25">
      <c r="A402" s="40"/>
      <c r="B402" s="190"/>
      <c r="C402" s="193"/>
      <c r="D402" s="192"/>
      <c r="E402" s="192"/>
      <c r="F402" s="192"/>
      <c r="G402" s="192"/>
      <c r="H402" s="24"/>
      <c r="I402" s="225"/>
      <c r="J402" s="175"/>
    </row>
    <row r="403" spans="1:14" s="176" customFormat="1" x14ac:dyDescent="0.25">
      <c r="A403" s="40"/>
      <c r="B403" s="167" t="s">
        <v>73</v>
      </c>
      <c r="C403" s="185" t="s">
        <v>232</v>
      </c>
      <c r="D403" s="191">
        <f>D404</f>
        <v>289414900</v>
      </c>
      <c r="E403" s="191"/>
      <c r="F403" s="191">
        <f t="shared" ref="F403:G403" si="137">SUM(F404)</f>
        <v>0</v>
      </c>
      <c r="G403" s="191">
        <f t="shared" si="137"/>
        <v>0</v>
      </c>
      <c r="H403" s="236">
        <f>G403/D403</f>
        <v>0</v>
      </c>
      <c r="I403" s="225"/>
      <c r="J403" s="175"/>
    </row>
    <row r="404" spans="1:14" s="176" customFormat="1" x14ac:dyDescent="0.25">
      <c r="A404" s="40"/>
      <c r="B404" s="190" t="s">
        <v>557</v>
      </c>
      <c r="C404" s="343" t="s">
        <v>232</v>
      </c>
      <c r="D404" s="299">
        <v>289414900</v>
      </c>
      <c r="E404" s="192"/>
      <c r="F404" s="192"/>
      <c r="G404" s="192">
        <f>E404+F404</f>
        <v>0</v>
      </c>
      <c r="H404" s="24">
        <f>G404/D404</f>
        <v>0</v>
      </c>
      <c r="I404" s="225" t="s">
        <v>216</v>
      </c>
      <c r="J404" s="175"/>
    </row>
    <row r="405" spans="1:14" s="176" customFormat="1" x14ac:dyDescent="0.25">
      <c r="A405" s="40"/>
      <c r="B405" s="190"/>
      <c r="C405" s="183"/>
      <c r="D405" s="192"/>
      <c r="E405" s="192"/>
      <c r="F405" s="192"/>
      <c r="G405" s="192"/>
      <c r="H405" s="24"/>
      <c r="I405" s="225"/>
      <c r="J405" s="175"/>
    </row>
    <row r="406" spans="1:14" s="176" customFormat="1" x14ac:dyDescent="0.25">
      <c r="A406" s="40"/>
      <c r="B406" s="167" t="s">
        <v>74</v>
      </c>
      <c r="C406" s="185" t="s">
        <v>233</v>
      </c>
      <c r="D406" s="191">
        <f>D407</f>
        <v>254403060</v>
      </c>
      <c r="E406" s="191"/>
      <c r="F406" s="191">
        <f t="shared" ref="F406:G406" si="138">SUM(F407)</f>
        <v>52966060</v>
      </c>
      <c r="G406" s="191">
        <f t="shared" si="138"/>
        <v>52966060</v>
      </c>
      <c r="H406" s="236">
        <f>G406/D406</f>
        <v>0.20819741712226261</v>
      </c>
      <c r="I406" s="225"/>
      <c r="J406" s="175"/>
    </row>
    <row r="407" spans="1:14" s="176" customFormat="1" x14ac:dyDescent="0.25">
      <c r="A407" s="40"/>
      <c r="B407" s="190" t="s">
        <v>558</v>
      </c>
      <c r="C407" s="183" t="s">
        <v>233</v>
      </c>
      <c r="D407" s="192">
        <v>254403060</v>
      </c>
      <c r="E407" s="192"/>
      <c r="F407" s="192">
        <v>52966060</v>
      </c>
      <c r="G407" s="192">
        <f>E407+F407</f>
        <v>52966060</v>
      </c>
      <c r="H407" s="24">
        <f>G407/D407</f>
        <v>0.20819741712226261</v>
      </c>
      <c r="I407" s="225" t="s">
        <v>216</v>
      </c>
      <c r="J407" s="175"/>
    </row>
    <row r="408" spans="1:14" s="176" customFormat="1" x14ac:dyDescent="0.25">
      <c r="A408" s="40"/>
      <c r="B408" s="22"/>
      <c r="C408" s="183"/>
      <c r="D408" s="192"/>
      <c r="E408" s="192"/>
      <c r="F408" s="192"/>
      <c r="G408" s="192"/>
      <c r="H408" s="24"/>
      <c r="I408" s="225"/>
      <c r="J408" s="175"/>
    </row>
    <row r="409" spans="1:14" s="176" customFormat="1" x14ac:dyDescent="0.25">
      <c r="A409" s="40"/>
      <c r="B409" s="167" t="s">
        <v>81</v>
      </c>
      <c r="C409" s="185" t="s">
        <v>234</v>
      </c>
      <c r="D409" s="191">
        <f>D410</f>
        <v>752600000</v>
      </c>
      <c r="E409" s="191">
        <f>E410</f>
        <v>376300000</v>
      </c>
      <c r="F409" s="191">
        <f>F410</f>
        <v>0</v>
      </c>
      <c r="G409" s="191">
        <f t="shared" ref="G409" si="139">SUM(G410)</f>
        <v>376300000</v>
      </c>
      <c r="H409" s="236">
        <f>G409/D409</f>
        <v>0.5</v>
      </c>
      <c r="I409" s="225"/>
      <c r="J409" s="175"/>
    </row>
    <row r="410" spans="1:14" s="176" customFormat="1" x14ac:dyDescent="0.25">
      <c r="A410" s="40"/>
      <c r="B410" s="190" t="s">
        <v>559</v>
      </c>
      <c r="C410" s="183" t="s">
        <v>234</v>
      </c>
      <c r="D410" s="192">
        <v>752600000</v>
      </c>
      <c r="E410" s="192">
        <f>'Realisasi April'!G406</f>
        <v>376300000</v>
      </c>
      <c r="F410" s="192"/>
      <c r="G410" s="192">
        <f>E410+F410</f>
        <v>376300000</v>
      </c>
      <c r="H410" s="24">
        <f>G410/D410</f>
        <v>0.5</v>
      </c>
      <c r="I410" s="225" t="s">
        <v>216</v>
      </c>
      <c r="J410" s="175"/>
    </row>
    <row r="411" spans="1:14" s="176" customFormat="1" x14ac:dyDescent="0.25">
      <c r="A411" s="40"/>
      <c r="B411" s="22"/>
      <c r="C411" s="183"/>
      <c r="D411" s="192"/>
      <c r="E411" s="192"/>
      <c r="F411" s="192"/>
      <c r="G411" s="191"/>
      <c r="H411" s="236"/>
      <c r="I411" s="223"/>
      <c r="J411" s="175"/>
    </row>
    <row r="412" spans="1:14" s="176" customFormat="1" ht="36.75" customHeight="1" x14ac:dyDescent="0.25">
      <c r="A412" s="132" t="s">
        <v>91</v>
      </c>
      <c r="B412" s="133" t="s">
        <v>396</v>
      </c>
      <c r="C412" s="130" t="s">
        <v>236</v>
      </c>
      <c r="D412" s="131">
        <f>D413</f>
        <v>0</v>
      </c>
      <c r="E412" s="131"/>
      <c r="F412" s="131">
        <f t="shared" ref="F412:G413" si="140">F413</f>
        <v>0</v>
      </c>
      <c r="G412" s="131">
        <f t="shared" si="140"/>
        <v>0</v>
      </c>
      <c r="H412" s="239" t="e">
        <f>G412/D412</f>
        <v>#DIV/0!</v>
      </c>
      <c r="I412" s="225" t="s">
        <v>237</v>
      </c>
      <c r="J412" s="175"/>
    </row>
    <row r="413" spans="1:14" s="176" customFormat="1" ht="36.75" customHeight="1" x14ac:dyDescent="0.25">
      <c r="A413" s="122"/>
      <c r="B413" s="189" t="s">
        <v>397</v>
      </c>
      <c r="C413" s="35" t="s">
        <v>236</v>
      </c>
      <c r="D413" s="121">
        <f>D414</f>
        <v>0</v>
      </c>
      <c r="E413" s="121"/>
      <c r="F413" s="121">
        <f t="shared" si="140"/>
        <v>0</v>
      </c>
      <c r="G413" s="121">
        <f t="shared" si="140"/>
        <v>0</v>
      </c>
      <c r="H413" s="236" t="e">
        <f>G413/D413</f>
        <v>#DIV/0!</v>
      </c>
      <c r="I413" s="225"/>
      <c r="J413" s="175"/>
    </row>
    <row r="414" spans="1:14" s="176" customFormat="1" x14ac:dyDescent="0.25">
      <c r="A414" s="40"/>
      <c r="B414" s="189" t="s">
        <v>560</v>
      </c>
      <c r="C414" s="35" t="s">
        <v>236</v>
      </c>
      <c r="D414" s="121"/>
      <c r="E414" s="121"/>
      <c r="F414" s="121"/>
      <c r="G414" s="191">
        <f>E414+F414</f>
        <v>0</v>
      </c>
      <c r="H414" s="236" t="e">
        <f>G414/D414</f>
        <v>#DIV/0!</v>
      </c>
      <c r="I414" s="223"/>
      <c r="J414" s="175"/>
      <c r="N414" s="176" t="s">
        <v>580</v>
      </c>
    </row>
    <row r="415" spans="1:14" s="176" customFormat="1" ht="35.65" customHeight="1" x14ac:dyDescent="0.25">
      <c r="A415" s="40"/>
      <c r="B415" s="178"/>
      <c r="C415" s="54" t="s">
        <v>238</v>
      </c>
      <c r="D415" s="55"/>
      <c r="E415" s="55"/>
      <c r="F415" s="55"/>
      <c r="G415" s="192">
        <f>F415-D415</f>
        <v>0</v>
      </c>
      <c r="H415" s="24"/>
      <c r="I415" s="225"/>
      <c r="J415" s="175"/>
    </row>
    <row r="416" spans="1:14" s="176" customFormat="1" ht="37.15" customHeight="1" x14ac:dyDescent="0.25">
      <c r="A416" s="40"/>
      <c r="B416" s="178"/>
      <c r="C416" s="54" t="s">
        <v>239</v>
      </c>
      <c r="D416" s="55"/>
      <c r="E416" s="55"/>
      <c r="F416" s="55"/>
      <c r="G416" s="192">
        <f>F416-D416</f>
        <v>0</v>
      </c>
      <c r="H416" s="24"/>
      <c r="I416" s="225"/>
      <c r="J416" s="175"/>
    </row>
    <row r="417" spans="1:10" s="176" customFormat="1" ht="39" customHeight="1" x14ac:dyDescent="0.25">
      <c r="A417" s="40"/>
      <c r="B417" s="178"/>
      <c r="C417" s="54" t="s">
        <v>240</v>
      </c>
      <c r="D417" s="55"/>
      <c r="E417" s="55"/>
      <c r="F417" s="55"/>
      <c r="G417" s="192">
        <f>F417-D417</f>
        <v>0</v>
      </c>
      <c r="H417" s="24"/>
      <c r="I417" s="225"/>
      <c r="J417" s="175"/>
    </row>
    <row r="418" spans="1:10" s="176" customFormat="1" x14ac:dyDescent="0.25">
      <c r="A418" s="56"/>
      <c r="B418" s="57"/>
      <c r="C418" s="58"/>
      <c r="D418" s="192"/>
      <c r="E418" s="192"/>
      <c r="F418" s="192"/>
      <c r="G418" s="191"/>
      <c r="H418" s="236"/>
      <c r="I418" s="228"/>
      <c r="J418" s="175"/>
    </row>
    <row r="419" spans="1:10" s="176" customFormat="1" ht="25.5" customHeight="1" x14ac:dyDescent="0.25">
      <c r="A419" s="134" t="s">
        <v>417</v>
      </c>
      <c r="B419" s="135" t="s">
        <v>398</v>
      </c>
      <c r="C419" s="136" t="s">
        <v>399</v>
      </c>
      <c r="D419" s="137">
        <f>SUM(D420+D433)</f>
        <v>115695329081</v>
      </c>
      <c r="E419" s="137">
        <f t="shared" ref="E419:F419" si="141">SUM(E420+E433)</f>
        <v>28592678456</v>
      </c>
      <c r="F419" s="137">
        <f t="shared" si="141"/>
        <v>9012052067</v>
      </c>
      <c r="G419" s="137">
        <f t="shared" ref="G419" si="142">SUM(G420+G433)</f>
        <v>37604730523</v>
      </c>
      <c r="H419" s="238">
        <f t="shared" ref="H419:H431" si="143">G419/D419</f>
        <v>0.32503240037177628</v>
      </c>
      <c r="I419" s="229"/>
      <c r="J419" s="175"/>
    </row>
    <row r="420" spans="1:10" s="176" customFormat="1" ht="25.5" customHeight="1" x14ac:dyDescent="0.25">
      <c r="A420" s="169" t="s">
        <v>426</v>
      </c>
      <c r="B420" s="189" t="s">
        <v>400</v>
      </c>
      <c r="C420" s="185" t="s">
        <v>401</v>
      </c>
      <c r="D420" s="191">
        <f>D421</f>
        <v>105229329081</v>
      </c>
      <c r="E420" s="191">
        <f t="shared" ref="E420:F420" si="144">E421</f>
        <v>25508678456</v>
      </c>
      <c r="F420" s="191">
        <f t="shared" si="144"/>
        <v>9012052067</v>
      </c>
      <c r="G420" s="191">
        <f t="shared" ref="G420" si="145">G421</f>
        <v>34520730523</v>
      </c>
      <c r="H420" s="236">
        <f t="shared" si="143"/>
        <v>0.32805236738160476</v>
      </c>
      <c r="I420" s="230"/>
      <c r="J420" s="175"/>
    </row>
    <row r="421" spans="1:10" s="176" customFormat="1" ht="25.5" customHeight="1" x14ac:dyDescent="0.25">
      <c r="A421" s="169"/>
      <c r="B421" s="189" t="s">
        <v>402</v>
      </c>
      <c r="C421" s="185" t="s">
        <v>403</v>
      </c>
      <c r="D421" s="191">
        <f>SUM(D422:D431)</f>
        <v>105229329081</v>
      </c>
      <c r="E421" s="191">
        <f t="shared" ref="E421:F421" si="146">SUM(E422:E431)</f>
        <v>25508678456</v>
      </c>
      <c r="F421" s="191">
        <f t="shared" si="146"/>
        <v>9012052067</v>
      </c>
      <c r="G421" s="191">
        <f t="shared" ref="G421" si="147">SUM(G422:G431)</f>
        <v>34520730523</v>
      </c>
      <c r="H421" s="236">
        <f t="shared" si="143"/>
        <v>0.32805236738160476</v>
      </c>
      <c r="I421" s="230"/>
      <c r="J421" s="175"/>
    </row>
    <row r="422" spans="1:10" s="176" customFormat="1" ht="25.5" customHeight="1" x14ac:dyDescent="0.25">
      <c r="A422" s="184" t="s">
        <v>89</v>
      </c>
      <c r="B422" s="190" t="s">
        <v>561</v>
      </c>
      <c r="C422" s="183" t="s">
        <v>244</v>
      </c>
      <c r="D422" s="178">
        <v>26706000000</v>
      </c>
      <c r="E422" s="178">
        <f>'Realisasi April'!G418</f>
        <v>6549814185</v>
      </c>
      <c r="F422" s="178"/>
      <c r="G422" s="192">
        <f>E422+F422</f>
        <v>6549814185</v>
      </c>
      <c r="H422" s="24">
        <f t="shared" si="143"/>
        <v>0.24525627892608404</v>
      </c>
      <c r="I422" s="231"/>
      <c r="J422" s="175"/>
    </row>
    <row r="423" spans="1:10" s="176" customFormat="1" ht="25.5" customHeight="1" x14ac:dyDescent="0.25">
      <c r="A423" s="188"/>
      <c r="B423" s="178"/>
      <c r="C423" s="193" t="s">
        <v>664</v>
      </c>
      <c r="D423" s="55"/>
      <c r="E423" s="178">
        <f>'Realisasi April'!G419</f>
        <v>0</v>
      </c>
      <c r="F423" s="55"/>
      <c r="G423" s="192">
        <f t="shared" ref="G423:G431" si="148">E423+F423</f>
        <v>0</v>
      </c>
      <c r="H423" s="24" t="e">
        <f t="shared" si="143"/>
        <v>#DIV/0!</v>
      </c>
      <c r="I423" s="231"/>
      <c r="J423" s="175"/>
    </row>
    <row r="424" spans="1:10" s="176" customFormat="1" ht="25.5" customHeight="1" x14ac:dyDescent="0.25">
      <c r="A424" s="184" t="s">
        <v>91</v>
      </c>
      <c r="B424" s="190" t="s">
        <v>562</v>
      </c>
      <c r="C424" s="183" t="s">
        <v>245</v>
      </c>
      <c r="D424" s="178">
        <v>16184831606</v>
      </c>
      <c r="E424" s="178">
        <f>'Realisasi April'!G420</f>
        <v>5553591878</v>
      </c>
      <c r="F424" s="178"/>
      <c r="G424" s="192">
        <f t="shared" si="148"/>
        <v>5553591878</v>
      </c>
      <c r="H424" s="24">
        <f t="shared" si="143"/>
        <v>0.34313559839208868</v>
      </c>
      <c r="I424" s="231"/>
      <c r="J424" s="175"/>
    </row>
    <row r="425" spans="1:10" s="176" customFormat="1" ht="25.5" customHeight="1" x14ac:dyDescent="0.25">
      <c r="A425" s="188"/>
      <c r="B425" s="178"/>
      <c r="C425" s="193" t="s">
        <v>665</v>
      </c>
      <c r="D425" s="55"/>
      <c r="E425" s="178">
        <f>'Realisasi April'!G421</f>
        <v>0</v>
      </c>
      <c r="F425" s="55"/>
      <c r="G425" s="192">
        <f t="shared" si="148"/>
        <v>0</v>
      </c>
      <c r="H425" s="24" t="e">
        <f t="shared" si="143"/>
        <v>#DIV/0!</v>
      </c>
      <c r="I425" s="232"/>
      <c r="J425" s="175"/>
    </row>
    <row r="426" spans="1:10" s="176" customFormat="1" ht="25.5" customHeight="1" x14ac:dyDescent="0.25">
      <c r="A426" s="184" t="s">
        <v>72</v>
      </c>
      <c r="B426" s="190" t="s">
        <v>563</v>
      </c>
      <c r="C426" s="183" t="s">
        <v>246</v>
      </c>
      <c r="D426" s="178">
        <v>45000000000</v>
      </c>
      <c r="E426" s="178">
        <f>'Realisasi April'!G422</f>
        <v>13165751117</v>
      </c>
      <c r="F426" s="178"/>
      <c r="G426" s="192">
        <f t="shared" si="148"/>
        <v>13165751117</v>
      </c>
      <c r="H426" s="24">
        <f t="shared" si="143"/>
        <v>0.29257224704444446</v>
      </c>
      <c r="I426" s="232"/>
      <c r="J426" s="175"/>
    </row>
    <row r="427" spans="1:10" s="176" customFormat="1" ht="25.5" customHeight="1" x14ac:dyDescent="0.25">
      <c r="A427" s="188"/>
      <c r="B427" s="178"/>
      <c r="C427" s="193" t="s">
        <v>666</v>
      </c>
      <c r="D427" s="55"/>
      <c r="E427" s="178">
        <f>'Realisasi April'!G423</f>
        <v>0</v>
      </c>
      <c r="F427" s="55"/>
      <c r="G427" s="192">
        <f t="shared" si="148"/>
        <v>0</v>
      </c>
      <c r="H427" s="24" t="e">
        <f t="shared" si="143"/>
        <v>#DIV/0!</v>
      </c>
      <c r="I427" s="231"/>
      <c r="J427" s="175"/>
    </row>
    <row r="428" spans="1:10" s="176" customFormat="1" ht="25.5" customHeight="1" x14ac:dyDescent="0.25">
      <c r="A428" s="184" t="s">
        <v>168</v>
      </c>
      <c r="B428" s="190" t="s">
        <v>564</v>
      </c>
      <c r="C428" s="183" t="s">
        <v>247</v>
      </c>
      <c r="D428" s="192">
        <v>1534998000</v>
      </c>
      <c r="E428" s="178">
        <f>'Realisasi April'!G424</f>
        <v>239521276</v>
      </c>
      <c r="F428" s="192"/>
      <c r="G428" s="192">
        <f t="shared" si="148"/>
        <v>239521276</v>
      </c>
      <c r="H428" s="24">
        <f t="shared" si="143"/>
        <v>0.15604012252784694</v>
      </c>
      <c r="I428" s="233"/>
      <c r="J428" s="175"/>
    </row>
    <row r="429" spans="1:10" s="176" customFormat="1" ht="25.5" customHeight="1" x14ac:dyDescent="0.25">
      <c r="A429" s="188"/>
      <c r="B429" s="178"/>
      <c r="C429" s="193" t="s">
        <v>667</v>
      </c>
      <c r="D429" s="55"/>
      <c r="E429" s="178">
        <f>'Realisasi April'!G425</f>
        <v>0</v>
      </c>
      <c r="F429" s="55"/>
      <c r="G429" s="192">
        <f t="shared" si="148"/>
        <v>0</v>
      </c>
      <c r="H429" s="24" t="e">
        <f t="shared" si="143"/>
        <v>#DIV/0!</v>
      </c>
      <c r="I429" s="232"/>
      <c r="J429" s="175"/>
    </row>
    <row r="430" spans="1:10" s="176" customFormat="1" ht="25.5" customHeight="1" x14ac:dyDescent="0.25">
      <c r="A430" s="184" t="s">
        <v>404</v>
      </c>
      <c r="B430" s="190" t="s">
        <v>565</v>
      </c>
      <c r="C430" s="183" t="s">
        <v>248</v>
      </c>
      <c r="D430" s="178">
        <v>15803499475</v>
      </c>
      <c r="E430" s="178">
        <f>'Realisasi April'!G426</f>
        <v>0</v>
      </c>
      <c r="F430" s="178">
        <v>6071989703</v>
      </c>
      <c r="G430" s="192">
        <f t="shared" si="148"/>
        <v>6071989703</v>
      </c>
      <c r="H430" s="24">
        <f t="shared" si="143"/>
        <v>0.38421804693355743</v>
      </c>
      <c r="I430" s="232"/>
      <c r="J430" s="175"/>
    </row>
    <row r="431" spans="1:10" s="176" customFormat="1" ht="25.5" customHeight="1" x14ac:dyDescent="0.25">
      <c r="A431" s="188"/>
      <c r="B431" s="178"/>
      <c r="C431" s="193" t="s">
        <v>668</v>
      </c>
      <c r="D431" s="55"/>
      <c r="E431" s="55"/>
      <c r="F431" s="55">
        <v>2940062364</v>
      </c>
      <c r="G431" s="192">
        <f t="shared" si="148"/>
        <v>2940062364</v>
      </c>
      <c r="H431" s="24" t="e">
        <f t="shared" si="143"/>
        <v>#DIV/0!</v>
      </c>
      <c r="I431" s="231"/>
      <c r="J431" s="175"/>
    </row>
    <row r="432" spans="1:10" s="176" customFormat="1" ht="25.5" customHeight="1" x14ac:dyDescent="0.25">
      <c r="A432" s="188"/>
      <c r="B432" s="178"/>
      <c r="C432" s="193"/>
      <c r="D432" s="55"/>
      <c r="E432" s="55"/>
      <c r="F432" s="55"/>
      <c r="G432" s="192"/>
      <c r="H432" s="24"/>
      <c r="I432" s="231"/>
      <c r="J432" s="175"/>
    </row>
    <row r="433" spans="1:10" s="176" customFormat="1" ht="25.5" customHeight="1" x14ac:dyDescent="0.25">
      <c r="A433" s="169" t="s">
        <v>163</v>
      </c>
      <c r="B433" s="189" t="s">
        <v>425</v>
      </c>
      <c r="C433" s="185" t="s">
        <v>428</v>
      </c>
      <c r="D433" s="53">
        <f>SUM(D434+D436)</f>
        <v>10466000000</v>
      </c>
      <c r="E433" s="53">
        <f t="shared" ref="E433:G433" si="149">SUM(E434+E436)</f>
        <v>3084000000</v>
      </c>
      <c r="F433" s="53">
        <f t="shared" si="149"/>
        <v>0</v>
      </c>
      <c r="G433" s="53">
        <f t="shared" si="149"/>
        <v>3084000000</v>
      </c>
      <c r="H433" s="236">
        <f>G433/D433</f>
        <v>0.29466845021975924</v>
      </c>
      <c r="I433" s="231"/>
      <c r="J433" s="175"/>
    </row>
    <row r="434" spans="1:10" s="176" customFormat="1" ht="25.5" customHeight="1" x14ac:dyDescent="0.25">
      <c r="A434" s="188"/>
      <c r="B434" s="189" t="s">
        <v>429</v>
      </c>
      <c r="C434" s="185" t="s">
        <v>430</v>
      </c>
      <c r="D434" s="55">
        <f>D435</f>
        <v>0</v>
      </c>
      <c r="E434" s="55"/>
      <c r="F434" s="55">
        <f>F435</f>
        <v>0</v>
      </c>
      <c r="G434" s="192">
        <f>F434-D434</f>
        <v>0</v>
      </c>
      <c r="H434" s="24"/>
      <c r="I434" s="231"/>
      <c r="J434" s="175"/>
    </row>
    <row r="435" spans="1:10" s="176" customFormat="1" ht="25.5" customHeight="1" x14ac:dyDescent="0.25">
      <c r="A435" s="188"/>
      <c r="B435" s="189" t="s">
        <v>431</v>
      </c>
      <c r="C435" s="185" t="s">
        <v>432</v>
      </c>
      <c r="D435" s="55"/>
      <c r="E435" s="55"/>
      <c r="F435" s="55"/>
      <c r="G435" s="192">
        <f>F435-D435</f>
        <v>0</v>
      </c>
      <c r="H435" s="24"/>
      <c r="I435" s="231"/>
      <c r="J435" s="175"/>
    </row>
    <row r="436" spans="1:10" s="176" customFormat="1" ht="25.5" customHeight="1" x14ac:dyDescent="0.25">
      <c r="A436" s="188"/>
      <c r="B436" s="189" t="s">
        <v>433</v>
      </c>
      <c r="C436" s="185" t="s">
        <v>434</v>
      </c>
      <c r="D436" s="53">
        <f>D437+D439+D440</f>
        <v>10466000000</v>
      </c>
      <c r="E436" s="53">
        <f>E437</f>
        <v>3084000000</v>
      </c>
      <c r="F436" s="53">
        <f>F437</f>
        <v>0</v>
      </c>
      <c r="G436" s="53">
        <f t="shared" ref="G436" si="150">G437+G439+G440</f>
        <v>3084000000</v>
      </c>
      <c r="H436" s="236">
        <f t="shared" ref="H436:H450" si="151">G436/D436</f>
        <v>0.29466845021975924</v>
      </c>
      <c r="I436" s="231"/>
      <c r="J436" s="175"/>
    </row>
    <row r="437" spans="1:10" s="176" customFormat="1" ht="25.5" customHeight="1" x14ac:dyDescent="0.25">
      <c r="A437" s="188"/>
      <c r="B437" s="189" t="s">
        <v>566</v>
      </c>
      <c r="C437" s="185" t="s">
        <v>445</v>
      </c>
      <c r="D437" s="53">
        <f>D438</f>
        <v>10466000000</v>
      </c>
      <c r="E437" s="53">
        <f>E438</f>
        <v>3084000000</v>
      </c>
      <c r="F437" s="53">
        <f>F438</f>
        <v>0</v>
      </c>
      <c r="G437" s="53">
        <f t="shared" ref="G437" si="152">G438</f>
        <v>3084000000</v>
      </c>
      <c r="H437" s="236">
        <f t="shared" si="151"/>
        <v>0.29466845021975924</v>
      </c>
      <c r="I437" s="231"/>
      <c r="J437" s="175"/>
    </row>
    <row r="438" spans="1:10" s="176" customFormat="1" ht="25.5" customHeight="1" x14ac:dyDescent="0.25">
      <c r="A438" s="188"/>
      <c r="B438" s="189"/>
      <c r="C438" s="35" t="s">
        <v>602</v>
      </c>
      <c r="D438" s="53">
        <v>10466000000</v>
      </c>
      <c r="E438" s="53">
        <f>'Realisasi April'!G434</f>
        <v>3084000000</v>
      </c>
      <c r="F438" s="53"/>
      <c r="G438" s="191">
        <f>E438+F438</f>
        <v>3084000000</v>
      </c>
      <c r="H438" s="236">
        <f t="shared" si="151"/>
        <v>0.29466845021975924</v>
      </c>
      <c r="I438" s="231"/>
      <c r="J438" s="175"/>
    </row>
    <row r="439" spans="1:10" s="176" customFormat="1" ht="25.5" customHeight="1" x14ac:dyDescent="0.25">
      <c r="A439" s="188"/>
      <c r="B439" s="189"/>
      <c r="C439" s="35" t="s">
        <v>603</v>
      </c>
      <c r="D439" s="53"/>
      <c r="E439" s="53"/>
      <c r="F439" s="53"/>
      <c r="G439" s="191">
        <f t="shared" ref="G439:G442" si="153">E439+F439</f>
        <v>0</v>
      </c>
      <c r="H439" s="236" t="e">
        <f t="shared" si="151"/>
        <v>#DIV/0!</v>
      </c>
      <c r="I439" s="231"/>
      <c r="J439" s="175"/>
    </row>
    <row r="440" spans="1:10" s="176" customFormat="1" ht="25.5" customHeight="1" x14ac:dyDescent="0.25">
      <c r="A440" s="188"/>
      <c r="B440" s="189"/>
      <c r="C440" s="35" t="s">
        <v>604</v>
      </c>
      <c r="D440" s="53">
        <f>SUM(D441:D442)</f>
        <v>0</v>
      </c>
      <c r="E440" s="53"/>
      <c r="F440" s="53">
        <f t="shared" ref="F440" si="154">SUM(F441:F442)</f>
        <v>0</v>
      </c>
      <c r="G440" s="191">
        <f t="shared" si="153"/>
        <v>0</v>
      </c>
      <c r="H440" s="236" t="e">
        <f t="shared" si="151"/>
        <v>#DIV/0!</v>
      </c>
      <c r="I440" s="231"/>
      <c r="J440" s="175"/>
    </row>
    <row r="441" spans="1:10" s="176" customFormat="1" ht="25.5" customHeight="1" x14ac:dyDescent="0.25">
      <c r="A441" s="188"/>
      <c r="B441" s="189"/>
      <c r="C441" s="193" t="s">
        <v>605</v>
      </c>
      <c r="D441" s="55"/>
      <c r="E441" s="55"/>
      <c r="F441" s="55"/>
      <c r="G441" s="191">
        <f t="shared" si="153"/>
        <v>0</v>
      </c>
      <c r="H441" s="24" t="e">
        <f t="shared" si="151"/>
        <v>#DIV/0!</v>
      </c>
      <c r="I441" s="231"/>
      <c r="J441" s="175"/>
    </row>
    <row r="442" spans="1:10" s="176" customFormat="1" ht="25.5" customHeight="1" x14ac:dyDescent="0.25">
      <c r="A442" s="188"/>
      <c r="B442" s="178"/>
      <c r="C442" s="193" t="s">
        <v>606</v>
      </c>
      <c r="D442" s="55"/>
      <c r="E442" s="55"/>
      <c r="F442" s="55"/>
      <c r="G442" s="191">
        <f t="shared" si="153"/>
        <v>0</v>
      </c>
      <c r="H442" s="24" t="e">
        <f t="shared" si="151"/>
        <v>#DIV/0!</v>
      </c>
      <c r="I442" s="231"/>
      <c r="J442" s="175"/>
    </row>
    <row r="443" spans="1:10" s="176" customFormat="1" ht="25.5" customHeight="1" x14ac:dyDescent="0.25">
      <c r="A443" s="129" t="s">
        <v>241</v>
      </c>
      <c r="B443" s="128" t="s">
        <v>242</v>
      </c>
      <c r="C443" s="41" t="s">
        <v>243</v>
      </c>
      <c r="D443" s="42">
        <f>D444</f>
        <v>0</v>
      </c>
      <c r="E443" s="42"/>
      <c r="F443" s="42">
        <f t="shared" ref="F443:G444" si="155">F444</f>
        <v>0</v>
      </c>
      <c r="G443" s="42">
        <f t="shared" si="155"/>
        <v>0</v>
      </c>
      <c r="H443" s="237" t="e">
        <f t="shared" si="151"/>
        <v>#DIV/0!</v>
      </c>
      <c r="I443" s="231"/>
      <c r="J443" s="175"/>
    </row>
    <row r="444" spans="1:10" s="176" customFormat="1" ht="41.25" customHeight="1" x14ac:dyDescent="0.25">
      <c r="A444" s="168" t="s">
        <v>166</v>
      </c>
      <c r="B444" s="189" t="s">
        <v>418</v>
      </c>
      <c r="C444" s="30" t="s">
        <v>419</v>
      </c>
      <c r="D444" s="191">
        <f>D445</f>
        <v>0</v>
      </c>
      <c r="E444" s="191"/>
      <c r="F444" s="191">
        <f t="shared" si="155"/>
        <v>0</v>
      </c>
      <c r="G444" s="191">
        <f t="shared" si="155"/>
        <v>0</v>
      </c>
      <c r="H444" s="236" t="e">
        <f t="shared" si="151"/>
        <v>#DIV/0!</v>
      </c>
      <c r="I444" s="231"/>
      <c r="J444" s="175"/>
    </row>
    <row r="445" spans="1:10" s="176" customFormat="1" ht="25.5" customHeight="1" x14ac:dyDescent="0.25">
      <c r="A445" s="169"/>
      <c r="B445" s="189" t="s">
        <v>420</v>
      </c>
      <c r="C445" s="185" t="s">
        <v>421</v>
      </c>
      <c r="D445" s="191">
        <f>D446+D460</f>
        <v>0</v>
      </c>
      <c r="E445" s="191"/>
      <c r="F445" s="191">
        <f t="shared" ref="F445:G445" si="156">F446+F460</f>
        <v>0</v>
      </c>
      <c r="G445" s="191">
        <f t="shared" si="156"/>
        <v>0</v>
      </c>
      <c r="H445" s="236" t="e">
        <f t="shared" si="151"/>
        <v>#DIV/0!</v>
      </c>
      <c r="I445" s="231"/>
      <c r="J445" s="175"/>
    </row>
    <row r="446" spans="1:10" s="176" customFormat="1" ht="25.5" customHeight="1" x14ac:dyDescent="0.25">
      <c r="A446" s="168" t="s">
        <v>89</v>
      </c>
      <c r="B446" s="189" t="s">
        <v>422</v>
      </c>
      <c r="C446" s="185" t="s">
        <v>423</v>
      </c>
      <c r="D446" s="191">
        <f>D447</f>
        <v>0</v>
      </c>
      <c r="E446" s="191"/>
      <c r="F446" s="191">
        <f t="shared" ref="F446:G446" si="157">F447</f>
        <v>0</v>
      </c>
      <c r="G446" s="191">
        <f t="shared" si="157"/>
        <v>0</v>
      </c>
      <c r="H446" s="236" t="e">
        <f t="shared" si="151"/>
        <v>#DIV/0!</v>
      </c>
      <c r="I446" s="231"/>
      <c r="J446" s="175"/>
    </row>
    <row r="447" spans="1:10" s="176" customFormat="1" ht="25.5" customHeight="1" x14ac:dyDescent="0.25">
      <c r="A447" s="169"/>
      <c r="B447" s="190" t="s">
        <v>424</v>
      </c>
      <c r="C447" s="183" t="s">
        <v>423</v>
      </c>
      <c r="D447" s="192"/>
      <c r="E447" s="192"/>
      <c r="F447" s="192"/>
      <c r="G447" s="192">
        <f>E447+F447</f>
        <v>0</v>
      </c>
      <c r="H447" s="24" t="e">
        <f t="shared" si="151"/>
        <v>#DIV/0!</v>
      </c>
      <c r="I447" s="231"/>
      <c r="J447" s="175"/>
    </row>
    <row r="448" spans="1:10" s="176" customFormat="1" ht="25.5" customHeight="1" x14ac:dyDescent="0.25">
      <c r="A448" s="169"/>
      <c r="B448" s="190"/>
      <c r="C448" s="193" t="s">
        <v>607</v>
      </c>
      <c r="D448" s="192"/>
      <c r="E448" s="192"/>
      <c r="F448" s="192"/>
      <c r="G448" s="192"/>
      <c r="H448" s="24" t="e">
        <f t="shared" si="151"/>
        <v>#DIV/0!</v>
      </c>
      <c r="I448" s="231"/>
      <c r="J448" s="175"/>
    </row>
    <row r="449" spans="1:10" s="176" customFormat="1" ht="25.5" customHeight="1" x14ac:dyDescent="0.25">
      <c r="A449" s="169"/>
      <c r="B449" s="190"/>
      <c r="C449" s="193" t="s">
        <v>608</v>
      </c>
      <c r="D449" s="192"/>
      <c r="E449" s="192"/>
      <c r="F449" s="192"/>
      <c r="G449" s="192"/>
      <c r="H449" s="24" t="e">
        <f t="shared" si="151"/>
        <v>#DIV/0!</v>
      </c>
      <c r="I449" s="231"/>
      <c r="J449" s="175"/>
    </row>
    <row r="450" spans="1:10" s="176" customFormat="1" ht="25.5" customHeight="1" x14ac:dyDescent="0.25">
      <c r="A450" s="169"/>
      <c r="B450" s="190"/>
      <c r="C450" s="193" t="s">
        <v>609</v>
      </c>
      <c r="D450" s="192"/>
      <c r="E450" s="192"/>
      <c r="F450" s="192"/>
      <c r="G450" s="192"/>
      <c r="H450" s="24" t="e">
        <f t="shared" si="151"/>
        <v>#DIV/0!</v>
      </c>
      <c r="I450" s="231"/>
      <c r="J450" s="175"/>
    </row>
    <row r="451" spans="1:10" s="176" customFormat="1" ht="25.5" customHeight="1" x14ac:dyDescent="0.25">
      <c r="A451" s="169"/>
      <c r="B451" s="190"/>
      <c r="C451" s="183" t="s">
        <v>610</v>
      </c>
      <c r="D451" s="192"/>
      <c r="E451" s="192"/>
      <c r="F451" s="192"/>
      <c r="G451" s="192"/>
      <c r="H451" s="24"/>
      <c r="I451" s="231"/>
      <c r="J451" s="175"/>
    </row>
    <row r="452" spans="1:10" s="176" customFormat="1" ht="25.5" customHeight="1" x14ac:dyDescent="0.25">
      <c r="A452" s="169"/>
      <c r="B452" s="190"/>
      <c r="C452" s="183" t="s">
        <v>611</v>
      </c>
      <c r="D452" s="192"/>
      <c r="E452" s="192"/>
      <c r="F452" s="192"/>
      <c r="G452" s="192"/>
      <c r="H452" s="24"/>
      <c r="I452" s="231"/>
      <c r="J452" s="175"/>
    </row>
    <row r="453" spans="1:10" s="176" customFormat="1" ht="25.5" customHeight="1" x14ac:dyDescent="0.25">
      <c r="A453" s="169"/>
      <c r="B453" s="190"/>
      <c r="C453" s="183" t="s">
        <v>612</v>
      </c>
      <c r="D453" s="192"/>
      <c r="E453" s="192"/>
      <c r="F453" s="192"/>
      <c r="G453" s="192"/>
      <c r="H453" s="24"/>
      <c r="I453" s="231"/>
      <c r="J453" s="175"/>
    </row>
    <row r="454" spans="1:10" s="176" customFormat="1" ht="25.5" customHeight="1" x14ac:dyDescent="0.25">
      <c r="A454" s="169"/>
      <c r="B454" s="190"/>
      <c r="C454" s="183" t="s">
        <v>613</v>
      </c>
      <c r="D454" s="192"/>
      <c r="E454" s="192"/>
      <c r="F454" s="192"/>
      <c r="G454" s="192"/>
      <c r="H454" s="24"/>
      <c r="I454" s="231"/>
      <c r="J454" s="175"/>
    </row>
    <row r="455" spans="1:10" s="176" customFormat="1" ht="25.5" customHeight="1" x14ac:dyDescent="0.25">
      <c r="A455" s="169"/>
      <c r="B455" s="190"/>
      <c r="C455" s="193" t="s">
        <v>614</v>
      </c>
      <c r="D455" s="192"/>
      <c r="E455" s="192"/>
      <c r="F455" s="192"/>
      <c r="G455" s="192"/>
      <c r="H455" s="24" t="e">
        <f>G455/D455</f>
        <v>#DIV/0!</v>
      </c>
      <c r="I455" s="231"/>
      <c r="J455" s="175"/>
    </row>
    <row r="456" spans="1:10" s="176" customFormat="1" ht="25.5" customHeight="1" x14ac:dyDescent="0.25">
      <c r="A456" s="169"/>
      <c r="B456" s="190"/>
      <c r="C456" s="183" t="s">
        <v>616</v>
      </c>
      <c r="D456" s="192"/>
      <c r="E456" s="192"/>
      <c r="F456" s="192"/>
      <c r="G456" s="192"/>
      <c r="H456" s="24"/>
      <c r="I456" s="231"/>
      <c r="J456" s="175"/>
    </row>
    <row r="457" spans="1:10" s="176" customFormat="1" ht="25.5" customHeight="1" x14ac:dyDescent="0.25">
      <c r="A457" s="169"/>
      <c r="B457" s="190"/>
      <c r="C457" s="183" t="s">
        <v>615</v>
      </c>
      <c r="D457" s="192"/>
      <c r="E457" s="192"/>
      <c r="F457" s="192"/>
      <c r="G457" s="192"/>
      <c r="H457" s="24"/>
      <c r="I457" s="231"/>
      <c r="J457" s="175"/>
    </row>
    <row r="458" spans="1:10" s="176" customFormat="1" ht="25.5" customHeight="1" x14ac:dyDescent="0.25">
      <c r="A458" s="169"/>
      <c r="B458" s="190"/>
      <c r="C458" s="183" t="s">
        <v>617</v>
      </c>
      <c r="D458" s="192"/>
      <c r="E458" s="192"/>
      <c r="F458" s="192"/>
      <c r="G458" s="192"/>
      <c r="H458" s="24"/>
      <c r="I458" s="231"/>
      <c r="J458" s="175"/>
    </row>
    <row r="459" spans="1:10" s="176" customFormat="1" ht="25.5" customHeight="1" x14ac:dyDescent="0.25">
      <c r="A459" s="169"/>
      <c r="B459" s="190"/>
      <c r="C459" s="183"/>
      <c r="D459" s="192"/>
      <c r="E459" s="192"/>
      <c r="F459" s="192"/>
      <c r="G459" s="192"/>
      <c r="H459" s="24"/>
      <c r="I459" s="231"/>
      <c r="J459" s="175"/>
    </row>
    <row r="460" spans="1:10" s="176" customFormat="1" ht="25.5" customHeight="1" x14ac:dyDescent="0.25">
      <c r="A460" s="168" t="s">
        <v>91</v>
      </c>
      <c r="B460" s="189" t="s">
        <v>618</v>
      </c>
      <c r="C460" s="185" t="s">
        <v>620</v>
      </c>
      <c r="D460" s="191">
        <f>D461</f>
        <v>0</v>
      </c>
      <c r="E460" s="191"/>
      <c r="F460" s="191">
        <f t="shared" ref="F460:G460" si="158">F461</f>
        <v>0</v>
      </c>
      <c r="G460" s="191">
        <f t="shared" si="158"/>
        <v>0</v>
      </c>
      <c r="H460" s="236" t="e">
        <f>G460/D460</f>
        <v>#DIV/0!</v>
      </c>
      <c r="I460" s="231"/>
      <c r="J460" s="175"/>
    </row>
    <row r="461" spans="1:10" s="176" customFormat="1" ht="32.25" customHeight="1" x14ac:dyDescent="0.25">
      <c r="A461" s="169"/>
      <c r="B461" s="190" t="s">
        <v>619</v>
      </c>
      <c r="C461" s="58" t="s">
        <v>621</v>
      </c>
      <c r="D461" s="192">
        <v>0</v>
      </c>
      <c r="E461" s="192"/>
      <c r="F461" s="192"/>
      <c r="G461" s="192"/>
      <c r="H461" s="24" t="e">
        <f>G461/D461</f>
        <v>#DIV/0!</v>
      </c>
      <c r="I461" s="231"/>
      <c r="J461" s="175"/>
    </row>
    <row r="462" spans="1:10" s="176" customFormat="1" ht="25.5" customHeight="1" x14ac:dyDescent="0.25">
      <c r="A462" s="169"/>
      <c r="B462" s="190"/>
      <c r="C462" s="183"/>
      <c r="D462" s="192"/>
      <c r="E462" s="192"/>
      <c r="F462" s="192"/>
      <c r="G462" s="192"/>
      <c r="H462" s="24"/>
      <c r="I462" s="231"/>
      <c r="J462" s="175"/>
    </row>
    <row r="463" spans="1:10" s="176" customFormat="1" ht="30.75" customHeight="1" thickBot="1" x14ac:dyDescent="0.3">
      <c r="A463" s="59"/>
      <c r="B463" s="60"/>
      <c r="C463" s="61" t="s">
        <v>249</v>
      </c>
      <c r="D463" s="62">
        <f>D11</f>
        <v>1277356744453.6699</v>
      </c>
      <c r="E463" s="62">
        <f>E11</f>
        <v>369924288013.81</v>
      </c>
      <c r="F463" s="62">
        <f t="shared" ref="F463:G463" si="159">F11</f>
        <v>77323496466.98999</v>
      </c>
      <c r="G463" s="62">
        <f t="shared" si="159"/>
        <v>447247784480.79999</v>
      </c>
      <c r="H463" s="242">
        <f>G463/D463</f>
        <v>0.35013537637215786</v>
      </c>
      <c r="I463" s="234"/>
      <c r="J463" s="175"/>
    </row>
    <row r="464" spans="1:10" s="176" customFormat="1" hidden="1" x14ac:dyDescent="0.25">
      <c r="A464" s="63"/>
      <c r="B464" s="64"/>
      <c r="C464" s="65"/>
      <c r="D464" s="66"/>
      <c r="E464" s="66"/>
      <c r="F464" s="66"/>
      <c r="G464" s="66"/>
      <c r="H464" s="66"/>
      <c r="I464" s="67" t="e">
        <f>SUM(F464/D464)</f>
        <v>#DIV/0!</v>
      </c>
      <c r="J464" s="175"/>
    </row>
    <row r="465" spans="1:10" s="176" customFormat="1" hidden="1" x14ac:dyDescent="0.25">
      <c r="A465" s="68" t="s">
        <v>250</v>
      </c>
      <c r="B465" s="69" t="s">
        <v>46</v>
      </c>
      <c r="C465" s="70" t="s">
        <v>251</v>
      </c>
      <c r="D465" s="71" t="e">
        <f>SUM(#REF!-#REF!)</f>
        <v>#REF!</v>
      </c>
      <c r="E465" s="71"/>
      <c r="F465" s="71" t="e">
        <f>SUM(#REF!-#REF!)</f>
        <v>#REF!</v>
      </c>
      <c r="G465" s="71"/>
      <c r="H465" s="71"/>
      <c r="I465" s="72" t="e">
        <f>SUM(F465/#REF!)</f>
        <v>#REF!</v>
      </c>
      <c r="J465" s="175"/>
    </row>
    <row r="466" spans="1:10" s="176" customFormat="1" hidden="1" x14ac:dyDescent="0.25">
      <c r="A466" s="68"/>
      <c r="B466" s="69" t="s">
        <v>252</v>
      </c>
      <c r="C466" s="70" t="s">
        <v>253</v>
      </c>
      <c r="D466" s="71" t="e">
        <f>SUM(#REF!-#REF!)</f>
        <v>#REF!</v>
      </c>
      <c r="E466" s="71"/>
      <c r="F466" s="71" t="e">
        <f>SUM(#REF!-#REF!)</f>
        <v>#REF!</v>
      </c>
      <c r="G466" s="71"/>
      <c r="H466" s="71"/>
      <c r="I466" s="72" t="e">
        <f>SUM(F466/#REF!)</f>
        <v>#REF!</v>
      </c>
      <c r="J466" s="175"/>
    </row>
    <row r="467" spans="1:10" s="176" customFormat="1" hidden="1" x14ac:dyDescent="0.25">
      <c r="A467" s="68"/>
      <c r="B467" s="69" t="s">
        <v>254</v>
      </c>
      <c r="C467" s="70" t="s">
        <v>255</v>
      </c>
      <c r="D467" s="71" t="e">
        <f>SUM(#REF!-#REF!)</f>
        <v>#REF!</v>
      </c>
      <c r="E467" s="71"/>
      <c r="F467" s="71" t="e">
        <f>SUM(#REF!-#REF!)</f>
        <v>#REF!</v>
      </c>
      <c r="G467" s="71"/>
      <c r="H467" s="71"/>
      <c r="I467" s="72" t="e">
        <f>SUM(F467/#REF!)</f>
        <v>#REF!</v>
      </c>
      <c r="J467" s="175"/>
    </row>
    <row r="468" spans="1:10" s="176" customFormat="1" hidden="1" x14ac:dyDescent="0.25">
      <c r="A468" s="68"/>
      <c r="B468" s="69" t="s">
        <v>256</v>
      </c>
      <c r="C468" s="70" t="s">
        <v>257</v>
      </c>
      <c r="D468" s="71" t="e">
        <f>SUM(#REF!-#REF!)</f>
        <v>#REF!</v>
      </c>
      <c r="E468" s="71"/>
      <c r="F468" s="71" t="e">
        <f>SUM(#REF!-#REF!)</f>
        <v>#REF!</v>
      </c>
      <c r="G468" s="71"/>
      <c r="H468" s="71"/>
      <c r="I468" s="72">
        <v>1</v>
      </c>
      <c r="J468" s="175"/>
    </row>
    <row r="469" spans="1:10" s="176" customFormat="1" hidden="1" x14ac:dyDescent="0.25">
      <c r="A469" s="68"/>
      <c r="B469" s="69" t="s">
        <v>258</v>
      </c>
      <c r="C469" s="70" t="s">
        <v>259</v>
      </c>
      <c r="D469" s="71" t="e">
        <f>SUM(#REF!-#REF!)</f>
        <v>#REF!</v>
      </c>
      <c r="E469" s="71"/>
      <c r="F469" s="71" t="e">
        <f>SUM(#REF!-#REF!)</f>
        <v>#REF!</v>
      </c>
      <c r="G469" s="71"/>
      <c r="H469" s="71"/>
      <c r="I469" s="72">
        <v>1</v>
      </c>
      <c r="J469" s="175"/>
    </row>
    <row r="470" spans="1:10" s="176" customFormat="1" hidden="1" x14ac:dyDescent="0.25">
      <c r="A470" s="68"/>
      <c r="B470" s="73" t="s">
        <v>260</v>
      </c>
      <c r="C470" s="74" t="s">
        <v>261</v>
      </c>
      <c r="D470" s="38" t="e">
        <f>SUM(#REF!-#REF!)</f>
        <v>#REF!</v>
      </c>
      <c r="E470" s="38"/>
      <c r="F470" s="38" t="e">
        <f>SUM(#REF!-#REF!)</f>
        <v>#REF!</v>
      </c>
      <c r="G470" s="38"/>
      <c r="H470" s="38"/>
      <c r="I470" s="75">
        <v>1</v>
      </c>
      <c r="J470" s="175"/>
    </row>
    <row r="471" spans="1:10" s="176" customFormat="1" hidden="1" x14ac:dyDescent="0.25">
      <c r="A471" s="68"/>
      <c r="B471" s="76"/>
      <c r="C471" s="74" t="s">
        <v>262</v>
      </c>
      <c r="D471" s="38" t="e">
        <f>SUM(#REF!-#REF!)</f>
        <v>#REF!</v>
      </c>
      <c r="E471" s="38"/>
      <c r="F471" s="38" t="e">
        <f>SUM(#REF!-#REF!)</f>
        <v>#REF!</v>
      </c>
      <c r="G471" s="38"/>
      <c r="H471" s="38"/>
      <c r="I471" s="75">
        <v>1</v>
      </c>
      <c r="J471" s="175"/>
    </row>
    <row r="472" spans="1:10" s="176" customFormat="1" ht="18" hidden="1" customHeight="1" x14ac:dyDescent="0.25">
      <c r="A472" s="68"/>
      <c r="B472" s="77"/>
      <c r="C472" s="78" t="s">
        <v>263</v>
      </c>
      <c r="D472" s="38" t="e">
        <f>SUM(#REF!-#REF!)</f>
        <v>#REF!</v>
      </c>
      <c r="E472" s="38"/>
      <c r="F472" s="38" t="e">
        <f>SUM(#REF!-#REF!)</f>
        <v>#REF!</v>
      </c>
      <c r="G472" s="38"/>
      <c r="H472" s="38"/>
      <c r="I472" s="72" t="e">
        <f>SUM(F472/#REF!)</f>
        <v>#REF!</v>
      </c>
      <c r="J472" s="175"/>
    </row>
    <row r="473" spans="1:10" s="175" customFormat="1" x14ac:dyDescent="0.25">
      <c r="A473" s="1"/>
      <c r="B473" s="79"/>
      <c r="C473" s="311"/>
      <c r="D473" s="80"/>
      <c r="E473" s="80"/>
      <c r="F473" s="80"/>
      <c r="G473" s="80"/>
      <c r="H473" s="80"/>
      <c r="I473" s="311"/>
    </row>
    <row r="474" spans="1:10" s="175" customFormat="1" x14ac:dyDescent="0.25">
      <c r="A474" s="1"/>
      <c r="B474" s="79"/>
      <c r="C474" s="311"/>
      <c r="D474" s="194"/>
      <c r="E474" s="194"/>
      <c r="F474" s="194"/>
      <c r="G474" s="194"/>
      <c r="H474" s="194"/>
    </row>
    <row r="475" spans="1:10" s="175" customFormat="1" x14ac:dyDescent="0.25">
      <c r="A475" s="287" t="s">
        <v>628</v>
      </c>
      <c r="B475" s="288"/>
      <c r="C475" s="311"/>
      <c r="G475" s="291" t="s">
        <v>674</v>
      </c>
      <c r="H475" s="194"/>
    </row>
    <row r="476" spans="1:10" s="175" customFormat="1" x14ac:dyDescent="0.25">
      <c r="A476" s="1"/>
      <c r="B476" s="79"/>
      <c r="C476" s="311"/>
      <c r="G476" s="291" t="s">
        <v>630</v>
      </c>
      <c r="H476" s="201"/>
    </row>
    <row r="477" spans="1:10" s="175" customFormat="1" x14ac:dyDescent="0.25">
      <c r="A477" s="1"/>
      <c r="B477" s="79"/>
      <c r="C477" s="311"/>
      <c r="G477" s="291"/>
      <c r="H477" s="195"/>
    </row>
    <row r="478" spans="1:10" s="175" customFormat="1" x14ac:dyDescent="0.25">
      <c r="A478" s="1"/>
      <c r="B478" s="79"/>
      <c r="C478" s="311"/>
      <c r="G478" s="291"/>
      <c r="H478" s="195"/>
    </row>
    <row r="479" spans="1:10" s="175" customFormat="1" x14ac:dyDescent="0.25">
      <c r="A479" s="1"/>
      <c r="B479" s="79"/>
      <c r="C479" s="311"/>
      <c r="G479" s="291"/>
      <c r="H479" s="195"/>
    </row>
    <row r="480" spans="1:10" s="175" customFormat="1" x14ac:dyDescent="0.25">
      <c r="A480" s="1"/>
      <c r="B480" s="79"/>
      <c r="C480" s="311"/>
      <c r="G480" s="292" t="s">
        <v>579</v>
      </c>
      <c r="H480" s="195"/>
    </row>
    <row r="481" spans="1:8" s="175" customFormat="1" x14ac:dyDescent="0.25">
      <c r="A481" s="1"/>
      <c r="B481" s="79"/>
      <c r="C481" s="311"/>
      <c r="G481" s="291" t="s">
        <v>577</v>
      </c>
      <c r="H481" s="201"/>
    </row>
    <row r="482" spans="1:8" x14ac:dyDescent="0.25">
      <c r="G482" s="291" t="s">
        <v>576</v>
      </c>
    </row>
  </sheetData>
  <mergeCells count="11">
    <mergeCell ref="I7:I8"/>
    <mergeCell ref="B2:C2"/>
    <mergeCell ref="B3:C3"/>
    <mergeCell ref="B4:C4"/>
    <mergeCell ref="B5:C5"/>
    <mergeCell ref="F6:H6"/>
    <mergeCell ref="A7:A8"/>
    <mergeCell ref="B7:B8"/>
    <mergeCell ref="C7:C8"/>
    <mergeCell ref="E7:G7"/>
    <mergeCell ref="H7:H8"/>
  </mergeCells>
  <pageMargins left="0.59" right="0.15748031496062992" top="1.27" bottom="0.47244094488188981" header="0.39370078740157483" footer="0.23622047244094491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36</vt:i4>
      </vt:variant>
    </vt:vector>
  </HeadingPairs>
  <TitlesOfParts>
    <vt:vector size="60" baseType="lpstr">
      <vt:lpstr>Realisasi Januari</vt:lpstr>
      <vt:lpstr>Rkp Jan</vt:lpstr>
      <vt:lpstr>Realisasi Februari</vt:lpstr>
      <vt:lpstr>Rkp Feb</vt:lpstr>
      <vt:lpstr>Realisasi Maret</vt:lpstr>
      <vt:lpstr>Rkp Maret</vt:lpstr>
      <vt:lpstr>Realisasi April</vt:lpstr>
      <vt:lpstr>Rkp April</vt:lpstr>
      <vt:lpstr>Realisasi Mei</vt:lpstr>
      <vt:lpstr>Rkp Mei</vt:lpstr>
      <vt:lpstr>Realisasi Juni</vt:lpstr>
      <vt:lpstr>Rkp Juni</vt:lpstr>
      <vt:lpstr>Realisasi Juli</vt:lpstr>
      <vt:lpstr>Rkp Juli</vt:lpstr>
      <vt:lpstr>Realisasi Agustus</vt:lpstr>
      <vt:lpstr>Rkp Agustus</vt:lpstr>
      <vt:lpstr>Realisasi Sept</vt:lpstr>
      <vt:lpstr>Rkp Sept</vt:lpstr>
      <vt:lpstr>Realisasi Okt</vt:lpstr>
      <vt:lpstr>Rkp Okt</vt:lpstr>
      <vt:lpstr>Realisasi Nov</vt:lpstr>
      <vt:lpstr>Rkp Nov</vt:lpstr>
      <vt:lpstr>Realisasi Des</vt:lpstr>
      <vt:lpstr>Rkp Des</vt:lpstr>
      <vt:lpstr>'Rkp Agustus'!Print_Area</vt:lpstr>
      <vt:lpstr>'Rkp April'!Print_Area</vt:lpstr>
      <vt:lpstr>'Rkp Des'!Print_Area</vt:lpstr>
      <vt:lpstr>'Rkp Feb'!Print_Area</vt:lpstr>
      <vt:lpstr>'Rkp Jan'!Print_Area</vt:lpstr>
      <vt:lpstr>'Rkp Juli'!Print_Area</vt:lpstr>
      <vt:lpstr>'Rkp Juni'!Print_Area</vt:lpstr>
      <vt:lpstr>'Rkp Maret'!Print_Area</vt:lpstr>
      <vt:lpstr>'Rkp Mei'!Print_Area</vt:lpstr>
      <vt:lpstr>'Rkp Nov'!Print_Area</vt:lpstr>
      <vt:lpstr>'Rkp Okt'!Print_Area</vt:lpstr>
      <vt:lpstr>'Rkp Sept'!Print_Area</vt:lpstr>
      <vt:lpstr>'Realisasi Agustus'!Print_Titles</vt:lpstr>
      <vt:lpstr>'Realisasi April'!Print_Titles</vt:lpstr>
      <vt:lpstr>'Realisasi Des'!Print_Titles</vt:lpstr>
      <vt:lpstr>'Realisasi Februari'!Print_Titles</vt:lpstr>
      <vt:lpstr>'Realisasi Januari'!Print_Titles</vt:lpstr>
      <vt:lpstr>'Realisasi Juli'!Print_Titles</vt:lpstr>
      <vt:lpstr>'Realisasi Juni'!Print_Titles</vt:lpstr>
      <vt:lpstr>'Realisasi Maret'!Print_Titles</vt:lpstr>
      <vt:lpstr>'Realisasi Mei'!Print_Titles</vt:lpstr>
      <vt:lpstr>'Realisasi Nov'!Print_Titles</vt:lpstr>
      <vt:lpstr>'Realisasi Okt'!Print_Titles</vt:lpstr>
      <vt:lpstr>'Realisasi Sept'!Print_Titles</vt:lpstr>
      <vt:lpstr>'Rkp Agustus'!Print_Titles</vt:lpstr>
      <vt:lpstr>'Rkp April'!Print_Titles</vt:lpstr>
      <vt:lpstr>'Rkp Des'!Print_Titles</vt:lpstr>
      <vt:lpstr>'Rkp Feb'!Print_Titles</vt:lpstr>
      <vt:lpstr>'Rkp Jan'!Print_Titles</vt:lpstr>
      <vt:lpstr>'Rkp Juli'!Print_Titles</vt:lpstr>
      <vt:lpstr>'Rkp Juni'!Print_Titles</vt:lpstr>
      <vt:lpstr>'Rkp Maret'!Print_Titles</vt:lpstr>
      <vt:lpstr>'Rkp Mei'!Print_Titles</vt:lpstr>
      <vt:lpstr>'Rkp Nov'!Print_Titles</vt:lpstr>
      <vt:lpstr>'Rkp Okt'!Print_Titles</vt:lpstr>
      <vt:lpstr>'Rkp Sept'!Print_Titles</vt:lpstr>
    </vt:vector>
  </TitlesOfParts>
  <Company>Deftones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Admin</cp:lastModifiedBy>
  <cp:lastPrinted>2023-06-05T07:34:46Z</cp:lastPrinted>
  <dcterms:created xsi:type="dcterms:W3CDTF">2020-11-27T07:12:06Z</dcterms:created>
  <dcterms:modified xsi:type="dcterms:W3CDTF">2023-06-15T07:14:31Z</dcterms:modified>
</cp:coreProperties>
</file>