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2025\DATA SI DATIN\DATA STATISTIK SEKTORAL\DISKOMINFOTIKSAN\DATA SEKRETARIAT - TU\SI-DATIN\"/>
    </mc:Choice>
  </mc:AlternateContent>
  <bookViews>
    <workbookView xWindow="0" yWindow="0" windowWidth="28800" windowHeight="10230" activeTab="5"/>
  </bookViews>
  <sheets>
    <sheet name="2021" sheetId="1" r:id="rId1"/>
    <sheet name="DESEMBER 22 " sheetId="6" r:id="rId2"/>
    <sheet name="NOVEMBER 22 " sheetId="7" r:id="rId3"/>
    <sheet name="OKTOBER 22" sheetId="8" r:id="rId4"/>
    <sheet name="2023" sheetId="9" r:id="rId5"/>
    <sheet name="2024" sheetId="10" r:id="rId6"/>
    <sheet name="Sheet3" sheetId="3" r:id="rId7"/>
  </sheets>
  <definedNames>
    <definedName name="_xlnm.Print_Area" localSheetId="0">'2021'!$A$70:$F$80</definedName>
    <definedName name="_xlnm.Print_Area" localSheetId="4">'2023'!$A$1:$AE$93</definedName>
    <definedName name="_xlnm.Print_Area" localSheetId="5">'2024'!$A$1:$AB$81</definedName>
    <definedName name="_xlnm.Print_Area" localSheetId="1">'DESEMBER 22 '!$A$1:$AC$80</definedName>
    <definedName name="_xlnm.Print_Area" localSheetId="2">'NOVEMBER 22 '!$A$1:$AC$80</definedName>
    <definedName name="_xlnm.Print_Area" localSheetId="3">'OKTOBER 22'!$A$1:$AC$80</definedName>
    <definedName name="_xlnm.Print_Titles" localSheetId="0">'2021'!$5:$6</definedName>
    <definedName name="_xlnm.Print_Titles" localSheetId="5">'2024'!$7:$10</definedName>
  </definedNames>
  <calcPr calcId="162913"/>
</workbook>
</file>

<file path=xl/calcChain.xml><?xml version="1.0" encoding="utf-8"?>
<calcChain xmlns="http://schemas.openxmlformats.org/spreadsheetml/2006/main">
  <c r="Y69" i="10" l="1"/>
  <c r="W69" i="10"/>
  <c r="U69" i="10"/>
  <c r="T69" i="10"/>
  <c r="X69" i="10" s="1"/>
  <c r="Z69" i="10" s="1"/>
  <c r="Y68" i="10"/>
  <c r="W68" i="10"/>
  <c r="U68" i="10"/>
  <c r="T68" i="10"/>
  <c r="X68" i="10" s="1"/>
  <c r="P67" i="10"/>
  <c r="N67" i="10"/>
  <c r="L67" i="10"/>
  <c r="J67" i="10"/>
  <c r="H67" i="10"/>
  <c r="T66" i="10"/>
  <c r="X66" i="10" s="1"/>
  <c r="Z66" i="10" s="1"/>
  <c r="S66" i="10"/>
  <c r="W66" i="10" s="1"/>
  <c r="Y66" i="10" s="1"/>
  <c r="T65" i="10"/>
  <c r="X65" i="10" s="1"/>
  <c r="S65" i="10"/>
  <c r="W65" i="10" s="1"/>
  <c r="Y65" i="10" s="1"/>
  <c r="R64" i="10"/>
  <c r="P64" i="10"/>
  <c r="N64" i="10"/>
  <c r="L64" i="10"/>
  <c r="J64" i="10"/>
  <c r="H64" i="10"/>
  <c r="T63" i="10"/>
  <c r="X63" i="10" s="1"/>
  <c r="Z63" i="10" s="1"/>
  <c r="S63" i="10"/>
  <c r="W63" i="10" s="1"/>
  <c r="Y63" i="10" s="1"/>
  <c r="T62" i="10"/>
  <c r="X62" i="10" s="1"/>
  <c r="Z62" i="10" s="1"/>
  <c r="S62" i="10"/>
  <c r="W62" i="10" s="1"/>
  <c r="Y62" i="10" s="1"/>
  <c r="T61" i="10"/>
  <c r="X61" i="10" s="1"/>
  <c r="Z61" i="10" s="1"/>
  <c r="S61" i="10"/>
  <c r="W61" i="10" s="1"/>
  <c r="Y61" i="10" s="1"/>
  <c r="T60" i="10"/>
  <c r="X60" i="10" s="1"/>
  <c r="Z60" i="10" s="1"/>
  <c r="S60" i="10"/>
  <c r="W60" i="10" s="1"/>
  <c r="Y60" i="10" s="1"/>
  <c r="T59" i="10"/>
  <c r="X59" i="10" s="1"/>
  <c r="S59" i="10"/>
  <c r="W59" i="10" s="1"/>
  <c r="Y59" i="10" s="1"/>
  <c r="R58" i="10"/>
  <c r="P58" i="10"/>
  <c r="N58" i="10"/>
  <c r="L58" i="10"/>
  <c r="J58" i="10"/>
  <c r="W57" i="10"/>
  <c r="Y57" i="10" s="1"/>
  <c r="U57" i="10"/>
  <c r="T57" i="10"/>
  <c r="X57" i="10" s="1"/>
  <c r="Z57" i="10" s="1"/>
  <c r="S57" i="10"/>
  <c r="W56" i="10"/>
  <c r="Y56" i="10" s="1"/>
  <c r="U56" i="10"/>
  <c r="T56" i="10"/>
  <c r="X56" i="10" s="1"/>
  <c r="S56" i="10"/>
  <c r="R55" i="10"/>
  <c r="P55" i="10"/>
  <c r="N55" i="10"/>
  <c r="L55" i="10"/>
  <c r="J55" i="10"/>
  <c r="X54" i="10"/>
  <c r="Z54" i="10" s="1"/>
  <c r="W54" i="10"/>
  <c r="Y54" i="10" s="1"/>
  <c r="V54" i="10"/>
  <c r="U54" i="10"/>
  <c r="T54" i="10"/>
  <c r="S54" i="10"/>
  <c r="X53" i="10"/>
  <c r="Z53" i="10" s="1"/>
  <c r="W53" i="10"/>
  <c r="Y53" i="10" s="1"/>
  <c r="V53" i="10"/>
  <c r="U53" i="10"/>
  <c r="T53" i="10"/>
  <c r="S53" i="10"/>
  <c r="X52" i="10"/>
  <c r="Z52" i="10" s="1"/>
  <c r="W52" i="10"/>
  <c r="Y52" i="10" s="1"/>
  <c r="V52" i="10"/>
  <c r="U52" i="10"/>
  <c r="T52" i="10"/>
  <c r="S52" i="10"/>
  <c r="X51" i="10"/>
  <c r="Z51" i="10" s="1"/>
  <c r="W51" i="10"/>
  <c r="Y51" i="10" s="1"/>
  <c r="V51" i="10"/>
  <c r="U51" i="10"/>
  <c r="T51" i="10"/>
  <c r="S51" i="10"/>
  <c r="W50" i="10"/>
  <c r="Y50" i="10" s="1"/>
  <c r="V50" i="10"/>
  <c r="U50" i="10"/>
  <c r="T50" i="10"/>
  <c r="X50" i="10" s="1"/>
  <c r="Z50" i="10" s="1"/>
  <c r="S50" i="10"/>
  <c r="W49" i="10"/>
  <c r="Y49" i="10" s="1"/>
  <c r="V49" i="10"/>
  <c r="U49" i="10"/>
  <c r="T49" i="10"/>
  <c r="X49" i="10" s="1"/>
  <c r="Z49" i="10" s="1"/>
  <c r="S49" i="10"/>
  <c r="W48" i="10"/>
  <c r="Y48" i="10" s="1"/>
  <c r="V48" i="10"/>
  <c r="U48" i="10"/>
  <c r="T48" i="10"/>
  <c r="X48" i="10" s="1"/>
  <c r="S48" i="10"/>
  <c r="T47" i="10"/>
  <c r="V47" i="10" s="1"/>
  <c r="R47" i="10"/>
  <c r="P47" i="10"/>
  <c r="N47" i="10"/>
  <c r="L47" i="10"/>
  <c r="J47" i="10"/>
  <c r="W46" i="10"/>
  <c r="Y46" i="10" s="1"/>
  <c r="V46" i="10"/>
  <c r="U46" i="10"/>
  <c r="T46" i="10"/>
  <c r="X46" i="10" s="1"/>
  <c r="Z46" i="10" s="1"/>
  <c r="S46" i="10"/>
  <c r="W45" i="10"/>
  <c r="Y45" i="10" s="1"/>
  <c r="V45" i="10"/>
  <c r="U45" i="10"/>
  <c r="T45" i="10"/>
  <c r="X45" i="10" s="1"/>
  <c r="Z45" i="10" s="1"/>
  <c r="S45" i="10"/>
  <c r="W44" i="10"/>
  <c r="Y44" i="10" s="1"/>
  <c r="V44" i="10"/>
  <c r="U44" i="10"/>
  <c r="T44" i="10"/>
  <c r="X44" i="10" s="1"/>
  <c r="Z44" i="10" s="1"/>
  <c r="S44" i="10"/>
  <c r="W43" i="10"/>
  <c r="Y43" i="10" s="1"/>
  <c r="V43" i="10"/>
  <c r="U43" i="10"/>
  <c r="T43" i="10"/>
  <c r="X43" i="10" s="1"/>
  <c r="S43" i="10"/>
  <c r="T42" i="10"/>
  <c r="V42" i="10" s="1"/>
  <c r="R42" i="10"/>
  <c r="P42" i="10"/>
  <c r="N42" i="10"/>
  <c r="L42" i="10"/>
  <c r="J42" i="10"/>
  <c r="H42" i="10"/>
  <c r="F42" i="10"/>
  <c r="Z41" i="10"/>
  <c r="Y41" i="10"/>
  <c r="X41" i="10"/>
  <c r="W41" i="10"/>
  <c r="T41" i="10"/>
  <c r="V41" i="10" s="1"/>
  <c r="S41" i="10"/>
  <c r="U41" i="10" s="1"/>
  <c r="Z40" i="10"/>
  <c r="X40" i="10"/>
  <c r="T40" i="10"/>
  <c r="V40" i="10" s="1"/>
  <c r="S40" i="10"/>
  <c r="W40" i="10" s="1"/>
  <c r="Y40" i="10" s="1"/>
  <c r="Z39" i="10"/>
  <c r="X39" i="10"/>
  <c r="T39" i="10"/>
  <c r="V39" i="10" s="1"/>
  <c r="R39" i="10"/>
  <c r="P39" i="10"/>
  <c r="N39" i="10"/>
  <c r="L39" i="10"/>
  <c r="J39" i="10"/>
  <c r="H39" i="10"/>
  <c r="F39" i="10"/>
  <c r="W38" i="10"/>
  <c r="Y38" i="10" s="1"/>
  <c r="U38" i="10"/>
  <c r="T38" i="10"/>
  <c r="X38" i="10" s="1"/>
  <c r="Z38" i="10" s="1"/>
  <c r="T37" i="10"/>
  <c r="X37" i="10" s="1"/>
  <c r="Z37" i="10" s="1"/>
  <c r="S37" i="10"/>
  <c r="W37" i="10" s="1"/>
  <c r="Y37" i="10" s="1"/>
  <c r="T36" i="10"/>
  <c r="X36" i="10" s="1"/>
  <c r="S36" i="10"/>
  <c r="W36" i="10" s="1"/>
  <c r="Y36" i="10" s="1"/>
  <c r="R35" i="10"/>
  <c r="P35" i="10"/>
  <c r="J35" i="10"/>
  <c r="Z34" i="10"/>
  <c r="X34" i="10"/>
  <c r="T34" i="10"/>
  <c r="V34" i="10" s="1"/>
  <c r="S34" i="10"/>
  <c r="W34" i="10" s="1"/>
  <c r="Y34" i="10" s="1"/>
  <c r="Z33" i="10"/>
  <c r="X33" i="10"/>
  <c r="T33" i="10"/>
  <c r="V33" i="10" s="1"/>
  <c r="S33" i="10"/>
  <c r="W33" i="10" s="1"/>
  <c r="Y33" i="10" s="1"/>
  <c r="T32" i="10"/>
  <c r="X32" i="10" s="1"/>
  <c r="Z32" i="10" s="1"/>
  <c r="S32" i="10"/>
  <c r="W32" i="10" s="1"/>
  <c r="Y32" i="10" s="1"/>
  <c r="T31" i="10"/>
  <c r="X31" i="10" s="1"/>
  <c r="Z31" i="10" s="1"/>
  <c r="S31" i="10"/>
  <c r="W31" i="10" s="1"/>
  <c r="Y31" i="10" s="1"/>
  <c r="T30" i="10"/>
  <c r="X30" i="10" s="1"/>
  <c r="S30" i="10"/>
  <c r="W30" i="10" s="1"/>
  <c r="Y30" i="10" s="1"/>
  <c r="T29" i="10"/>
  <c r="V29" i="10" s="1"/>
  <c r="R29" i="10"/>
  <c r="P29" i="10"/>
  <c r="N29" i="10"/>
  <c r="L29" i="10"/>
  <c r="J29" i="10"/>
  <c r="H29" i="10"/>
  <c r="F29" i="10"/>
  <c r="U28" i="10"/>
  <c r="T28" i="10"/>
  <c r="X28" i="10" s="1"/>
  <c r="S28" i="10"/>
  <c r="W28" i="10" s="1"/>
  <c r="Y28" i="10" s="1"/>
  <c r="R26" i="10"/>
  <c r="N26" i="10"/>
  <c r="L26" i="10"/>
  <c r="J26" i="10"/>
  <c r="H26" i="10"/>
  <c r="F26" i="10"/>
  <c r="X25" i="10"/>
  <c r="Z25" i="10" s="1"/>
  <c r="Z24" i="10" s="1"/>
  <c r="W25" i="10"/>
  <c r="Y25" i="10" s="1"/>
  <c r="V25" i="10"/>
  <c r="U25" i="10"/>
  <c r="T25" i="10"/>
  <c r="S25" i="10"/>
  <c r="T24" i="10"/>
  <c r="V24" i="10" s="1"/>
  <c r="R24" i="10"/>
  <c r="P24" i="10"/>
  <c r="N24" i="10"/>
  <c r="L24" i="10"/>
  <c r="J24" i="10"/>
  <c r="H24" i="10"/>
  <c r="F24" i="10"/>
  <c r="T23" i="10"/>
  <c r="X23" i="10" s="1"/>
  <c r="Z23" i="10" s="1"/>
  <c r="S23" i="10"/>
  <c r="W23" i="10" s="1"/>
  <c r="Y23" i="10" s="1"/>
  <c r="T22" i="10"/>
  <c r="X22" i="10" s="1"/>
  <c r="Z22" i="10" s="1"/>
  <c r="S22" i="10"/>
  <c r="W22" i="10" s="1"/>
  <c r="Y22" i="10" s="1"/>
  <c r="T21" i="10"/>
  <c r="X21" i="10" s="1"/>
  <c r="S21" i="10"/>
  <c r="W21" i="10" s="1"/>
  <c r="Y21" i="10" s="1"/>
  <c r="T20" i="10"/>
  <c r="V20" i="10" s="1"/>
  <c r="R20" i="10"/>
  <c r="P20" i="10"/>
  <c r="N20" i="10"/>
  <c r="L20" i="10"/>
  <c r="L12" i="10" s="1"/>
  <c r="J20" i="10"/>
  <c r="J12" i="10" s="1"/>
  <c r="I72" i="10" s="1"/>
  <c r="H20" i="10"/>
  <c r="F20" i="10"/>
  <c r="X19" i="10"/>
  <c r="T19" i="10"/>
  <c r="V19" i="10" s="1"/>
  <c r="S19" i="10"/>
  <c r="U19" i="10" s="1"/>
  <c r="X18" i="10"/>
  <c r="V18" i="10"/>
  <c r="U18" i="10"/>
  <c r="T18" i="10"/>
  <c r="S18" i="10"/>
  <c r="T17" i="10"/>
  <c r="V17" i="10" s="1"/>
  <c r="S17" i="10"/>
  <c r="U17" i="10" s="1"/>
  <c r="X16" i="10"/>
  <c r="V16" i="10"/>
  <c r="T16" i="10"/>
  <c r="S16" i="10"/>
  <c r="U16" i="10" s="1"/>
  <c r="X15" i="10"/>
  <c r="V15" i="10"/>
  <c r="U15" i="10"/>
  <c r="T15" i="10"/>
  <c r="S15" i="10"/>
  <c r="V14" i="10"/>
  <c r="U14" i="10"/>
  <c r="T14" i="10"/>
  <c r="X14" i="10" s="1"/>
  <c r="S14" i="10"/>
  <c r="W14" i="10" s="1"/>
  <c r="Y14" i="10" s="1"/>
  <c r="T13" i="10"/>
  <c r="R13" i="10"/>
  <c r="P13" i="10"/>
  <c r="N13" i="10"/>
  <c r="L13" i="10"/>
  <c r="J13" i="10"/>
  <c r="H13" i="10"/>
  <c r="F13" i="10"/>
  <c r="F12" i="10" s="1"/>
  <c r="Z28" i="10" l="1"/>
  <c r="Z26" i="10" s="1"/>
  <c r="X26" i="10"/>
  <c r="Z48" i="10"/>
  <c r="Z47" i="10" s="1"/>
  <c r="X47" i="10"/>
  <c r="Z59" i="10"/>
  <c r="Z58" i="10" s="1"/>
  <c r="X58" i="10"/>
  <c r="Z65" i="10"/>
  <c r="Z64" i="10" s="1"/>
  <c r="X64" i="10"/>
  <c r="Z68" i="10"/>
  <c r="Z67" i="10" s="1"/>
  <c r="X67" i="10"/>
  <c r="Z56" i="10"/>
  <c r="Z55" i="10" s="1"/>
  <c r="X55" i="10"/>
  <c r="X29" i="10"/>
  <c r="Z30" i="10"/>
  <c r="Z29" i="10" s="1"/>
  <c r="Z36" i="10"/>
  <c r="X35" i="10"/>
  <c r="Z21" i="10"/>
  <c r="Z20" i="10" s="1"/>
  <c r="X20" i="10"/>
  <c r="Z14" i="10"/>
  <c r="Z13" i="10" s="1"/>
  <c r="X13" i="10"/>
  <c r="Z43" i="10"/>
  <c r="Z42" i="10" s="1"/>
  <c r="X42" i="10"/>
  <c r="V28" i="10"/>
  <c r="U36" i="10"/>
  <c r="U37" i="10"/>
  <c r="V38" i="10"/>
  <c r="V56" i="10"/>
  <c r="V57" i="10"/>
  <c r="U59" i="10"/>
  <c r="U60" i="10"/>
  <c r="U61" i="10"/>
  <c r="U62" i="10"/>
  <c r="U63" i="10"/>
  <c r="V13" i="10"/>
  <c r="X24" i="10"/>
  <c r="T26" i="10"/>
  <c r="V26" i="10" s="1"/>
  <c r="V36" i="10"/>
  <c r="V37" i="10"/>
  <c r="T55" i="10"/>
  <c r="V55" i="10" s="1"/>
  <c r="V59" i="10"/>
  <c r="V60" i="10"/>
  <c r="V61" i="10"/>
  <c r="V62" i="10"/>
  <c r="V63" i="10"/>
  <c r="U13" i="10"/>
  <c r="X17" i="10"/>
  <c r="U21" i="10"/>
  <c r="U70" i="10" s="1"/>
  <c r="U22" i="10"/>
  <c r="U23" i="10"/>
  <c r="U30" i="10"/>
  <c r="U31" i="10"/>
  <c r="U32" i="10"/>
  <c r="U33" i="10"/>
  <c r="U34" i="10"/>
  <c r="U40" i="10"/>
  <c r="T58" i="10"/>
  <c r="V58" i="10" s="1"/>
  <c r="U65" i="10"/>
  <c r="U66" i="10"/>
  <c r="V69" i="10"/>
  <c r="V21" i="10"/>
  <c r="V22" i="10"/>
  <c r="V23" i="10"/>
  <c r="V30" i="10"/>
  <c r="V31" i="10"/>
  <c r="V32" i="10"/>
  <c r="T35" i="10"/>
  <c r="V35" i="10" s="1"/>
  <c r="V65" i="10"/>
  <c r="V66" i="10"/>
  <c r="V68" i="10"/>
  <c r="T64" i="10"/>
  <c r="V64" i="10" s="1"/>
  <c r="T67" i="10"/>
  <c r="V67" i="10" s="1"/>
  <c r="U72" i="10" l="1"/>
  <c r="U73" i="10" s="1"/>
  <c r="U71" i="10"/>
  <c r="X12" i="10"/>
  <c r="Z12" i="10" s="1"/>
  <c r="T12" i="10"/>
  <c r="V72" i="10" l="1"/>
  <c r="V73" i="10" s="1"/>
  <c r="V12" i="10"/>
  <c r="V70" i="10" s="1"/>
  <c r="V71" i="10" s="1"/>
  <c r="W70" i="9" l="1"/>
  <c r="AA70" i="9" s="1"/>
  <c r="AC70" i="9" s="1"/>
  <c r="AC68" i="9" s="1"/>
  <c r="V70" i="9"/>
  <c r="Z70" i="9" s="1"/>
  <c r="AB70" i="9" s="1"/>
  <c r="W69" i="9"/>
  <c r="AA69" i="9" s="1"/>
  <c r="AC69" i="9" s="1"/>
  <c r="V69" i="9"/>
  <c r="Z69" i="9" s="1"/>
  <c r="AB69" i="9" s="1"/>
  <c r="U68" i="9"/>
  <c r="S68" i="9"/>
  <c r="Q68" i="9"/>
  <c r="O68" i="9"/>
  <c r="M68" i="9"/>
  <c r="Z67" i="9"/>
  <c r="AB67" i="9" s="1"/>
  <c r="X67" i="9"/>
  <c r="W67" i="9"/>
  <c r="AA67" i="9" s="1"/>
  <c r="AC67" i="9" s="1"/>
  <c r="AC66" i="9" s="1"/>
  <c r="V67" i="9"/>
  <c r="U66" i="9"/>
  <c r="S66" i="9"/>
  <c r="Q66" i="9"/>
  <c r="O66" i="9"/>
  <c r="M66" i="9"/>
  <c r="AA65" i="9"/>
  <c r="AC65" i="9" s="1"/>
  <c r="Y65" i="9"/>
  <c r="X65" i="9"/>
  <c r="W65" i="9"/>
  <c r="V65" i="9"/>
  <c r="Z65" i="9" s="1"/>
  <c r="AB65" i="9" s="1"/>
  <c r="W64" i="9"/>
  <c r="AA64" i="9" s="1"/>
  <c r="V64" i="9"/>
  <c r="Z64" i="9" s="1"/>
  <c r="W63" i="9"/>
  <c r="AA63" i="9" s="1"/>
  <c r="AC63" i="9" s="1"/>
  <c r="V63" i="9"/>
  <c r="Z63" i="9" s="1"/>
  <c r="AB63" i="9" s="1"/>
  <c r="AB62" i="9"/>
  <c r="Z62" i="9"/>
  <c r="X62" i="9"/>
  <c r="W62" i="9"/>
  <c r="AA62" i="9" s="1"/>
  <c r="AC62" i="9" s="1"/>
  <c r="AC59" i="9" s="1"/>
  <c r="AC61" i="9"/>
  <c r="AA61" i="9"/>
  <c r="W61" i="9"/>
  <c r="Y61" i="9" s="1"/>
  <c r="V61" i="9"/>
  <c r="Z61" i="9" s="1"/>
  <c r="AB61" i="9" s="1"/>
  <c r="AC60" i="9"/>
  <c r="AA60" i="9"/>
  <c r="W60" i="9"/>
  <c r="W59" i="9" s="1"/>
  <c r="V60" i="9"/>
  <c r="Z60" i="9" s="1"/>
  <c r="AB60" i="9" s="1"/>
  <c r="U59" i="9"/>
  <c r="S59" i="9"/>
  <c r="Q59" i="9"/>
  <c r="O59" i="9"/>
  <c r="M59" i="9"/>
  <c r="W58" i="9"/>
  <c r="AA58" i="9" s="1"/>
  <c r="AC58" i="9" s="1"/>
  <c r="V58" i="9"/>
  <c r="Z58" i="9" s="1"/>
  <c r="AB58" i="9" s="1"/>
  <c r="W57" i="9"/>
  <c r="AA57" i="9" s="1"/>
  <c r="AC57" i="9" s="1"/>
  <c r="V57" i="9"/>
  <c r="Z57" i="9" s="1"/>
  <c r="AB57" i="9" s="1"/>
  <c r="U56" i="9"/>
  <c r="S56" i="9"/>
  <c r="Q56" i="9"/>
  <c r="O56" i="9"/>
  <c r="M56" i="9"/>
  <c r="Z55" i="9"/>
  <c r="AB55" i="9" s="1"/>
  <c r="X55" i="9"/>
  <c r="W55" i="9"/>
  <c r="AA55" i="9" s="1"/>
  <c r="AC55" i="9" s="1"/>
  <c r="V55" i="9"/>
  <c r="Z54" i="9"/>
  <c r="AB54" i="9" s="1"/>
  <c r="X54" i="9"/>
  <c r="W54" i="9"/>
  <c r="AA54" i="9" s="1"/>
  <c r="AC54" i="9" s="1"/>
  <c r="V54" i="9"/>
  <c r="Z53" i="9"/>
  <c r="AB53" i="9" s="1"/>
  <c r="X53" i="9"/>
  <c r="W53" i="9"/>
  <c r="AA53" i="9" s="1"/>
  <c r="AC53" i="9" s="1"/>
  <c r="V53" i="9"/>
  <c r="Z52" i="9"/>
  <c r="AB52" i="9" s="1"/>
  <c r="X52" i="9"/>
  <c r="W52" i="9"/>
  <c r="AA52" i="9" s="1"/>
  <c r="AC52" i="9" s="1"/>
  <c r="V52" i="9"/>
  <c r="Z51" i="9"/>
  <c r="AB51" i="9" s="1"/>
  <c r="X51" i="9"/>
  <c r="W51" i="9"/>
  <c r="AA51" i="9" s="1"/>
  <c r="AC51" i="9" s="1"/>
  <c r="V51" i="9"/>
  <c r="Z50" i="9"/>
  <c r="AB50" i="9" s="1"/>
  <c r="X50" i="9"/>
  <c r="W50" i="9"/>
  <c r="AA50" i="9" s="1"/>
  <c r="AC50" i="9" s="1"/>
  <c r="V50" i="9"/>
  <c r="Z49" i="9"/>
  <c r="AB49" i="9" s="1"/>
  <c r="X49" i="9"/>
  <c r="W49" i="9"/>
  <c r="AA49" i="9" s="1"/>
  <c r="AC49" i="9" s="1"/>
  <c r="AC48" i="9" s="1"/>
  <c r="V49" i="9"/>
  <c r="U48" i="9"/>
  <c r="S48" i="9"/>
  <c r="Q48" i="9"/>
  <c r="O48" i="9"/>
  <c r="M48" i="9"/>
  <c r="AA47" i="9"/>
  <c r="AC47" i="9" s="1"/>
  <c r="Y47" i="9"/>
  <c r="X47" i="9"/>
  <c r="W47" i="9"/>
  <c r="V47" i="9"/>
  <c r="Z47" i="9" s="1"/>
  <c r="AB47" i="9" s="1"/>
  <c r="AA46" i="9"/>
  <c r="AC46" i="9" s="1"/>
  <c r="Y46" i="9"/>
  <c r="X46" i="9"/>
  <c r="W46" i="9"/>
  <c r="W45" i="9" s="1"/>
  <c r="V46" i="9"/>
  <c r="Z46" i="9" s="1"/>
  <c r="AB46" i="9" s="1"/>
  <c r="U45" i="9"/>
  <c r="S45" i="9"/>
  <c r="Q45" i="9"/>
  <c r="O45" i="9"/>
  <c r="M45" i="9"/>
  <c r="J45" i="9"/>
  <c r="H45" i="9"/>
  <c r="AA44" i="9"/>
  <c r="AC44" i="9" s="1"/>
  <c r="Y44" i="9"/>
  <c r="W44" i="9"/>
  <c r="V44" i="9"/>
  <c r="Z44" i="9" s="1"/>
  <c r="AB44" i="9" s="1"/>
  <c r="AA43" i="9"/>
  <c r="AC43" i="9" s="1"/>
  <c r="Y43" i="9"/>
  <c r="W43" i="9"/>
  <c r="V43" i="9"/>
  <c r="Z43" i="9" s="1"/>
  <c r="AB43" i="9" s="1"/>
  <c r="Y42" i="9"/>
  <c r="W42" i="9"/>
  <c r="U42" i="9"/>
  <c r="S42" i="9"/>
  <c r="Q42" i="9"/>
  <c r="O42" i="9"/>
  <c r="M42" i="9"/>
  <c r="J42" i="9"/>
  <c r="AA42" i="9" s="1"/>
  <c r="H42" i="9"/>
  <c r="W41" i="9"/>
  <c r="AA41" i="9" s="1"/>
  <c r="AC41" i="9" s="1"/>
  <c r="V41" i="9"/>
  <c r="Z41" i="9" s="1"/>
  <c r="AB41" i="9" s="1"/>
  <c r="W40" i="9"/>
  <c r="AA40" i="9" s="1"/>
  <c r="AC40" i="9" s="1"/>
  <c r="AC37" i="9" s="1"/>
  <c r="V40" i="9"/>
  <c r="Z40" i="9" s="1"/>
  <c r="AB40" i="9" s="1"/>
  <c r="W39" i="9"/>
  <c r="AA39" i="9" s="1"/>
  <c r="AC39" i="9" s="1"/>
  <c r="V39" i="9"/>
  <c r="Z39" i="9" s="1"/>
  <c r="AB39" i="9" s="1"/>
  <c r="W38" i="9"/>
  <c r="AA38" i="9" s="1"/>
  <c r="AC38" i="9" s="1"/>
  <c r="V38" i="9"/>
  <c r="Z38" i="9" s="1"/>
  <c r="AB38" i="9" s="1"/>
  <c r="U37" i="9"/>
  <c r="S37" i="9"/>
  <c r="Q37" i="9"/>
  <c r="O37" i="9"/>
  <c r="M37" i="9"/>
  <c r="H37" i="9"/>
  <c r="AA36" i="9"/>
  <c r="AC36" i="9" s="1"/>
  <c r="Y36" i="9"/>
  <c r="X36" i="9"/>
  <c r="W36" i="9"/>
  <c r="V36" i="9"/>
  <c r="Z36" i="9" s="1"/>
  <c r="AB36" i="9" s="1"/>
  <c r="AA35" i="9"/>
  <c r="AC35" i="9" s="1"/>
  <c r="Y35" i="9"/>
  <c r="X35" i="9"/>
  <c r="W35" i="9"/>
  <c r="V35" i="9"/>
  <c r="Z35" i="9" s="1"/>
  <c r="AB35" i="9" s="1"/>
  <c r="AA34" i="9"/>
  <c r="AC34" i="9" s="1"/>
  <c r="Y34" i="9"/>
  <c r="X34" i="9"/>
  <c r="W34" i="9"/>
  <c r="V34" i="9"/>
  <c r="Z34" i="9" s="1"/>
  <c r="AB34" i="9" s="1"/>
  <c r="AA33" i="9"/>
  <c r="AC33" i="9" s="1"/>
  <c r="Y33" i="9"/>
  <c r="X33" i="9"/>
  <c r="W33" i="9"/>
  <c r="V33" i="9"/>
  <c r="Z33" i="9" s="1"/>
  <c r="AB33" i="9" s="1"/>
  <c r="AA32" i="9"/>
  <c r="AC32" i="9" s="1"/>
  <c r="Y32" i="9"/>
  <c r="X32" i="9"/>
  <c r="W32" i="9"/>
  <c r="W31" i="9" s="1"/>
  <c r="V32" i="9"/>
  <c r="Z32" i="9" s="1"/>
  <c r="AB32" i="9" s="1"/>
  <c r="U31" i="9"/>
  <c r="S31" i="9"/>
  <c r="Q31" i="9"/>
  <c r="O31" i="9"/>
  <c r="M31" i="9"/>
  <c r="J31" i="9"/>
  <c r="H31" i="9"/>
  <c r="AA30" i="9"/>
  <c r="AC30" i="9" s="1"/>
  <c r="AC29" i="9" s="1"/>
  <c r="Y30" i="9"/>
  <c r="W30" i="9"/>
  <c r="V30" i="9"/>
  <c r="Z30" i="9" s="1"/>
  <c r="AB30" i="9" s="1"/>
  <c r="Y29" i="9"/>
  <c r="W29" i="9"/>
  <c r="U29" i="9"/>
  <c r="S29" i="9"/>
  <c r="Q29" i="9"/>
  <c r="O29" i="9"/>
  <c r="M29" i="9"/>
  <c r="J29" i="9"/>
  <c r="AA29" i="9" s="1"/>
  <c r="H29" i="9"/>
  <c r="W28" i="9"/>
  <c r="Y28" i="9" s="1"/>
  <c r="V28" i="9"/>
  <c r="Z28" i="9" s="1"/>
  <c r="AB28" i="9" s="1"/>
  <c r="U27" i="9"/>
  <c r="S27" i="9"/>
  <c r="Q27" i="9"/>
  <c r="O27" i="9"/>
  <c r="W27" i="9" s="1"/>
  <c r="M27" i="9"/>
  <c r="J27" i="9"/>
  <c r="H27" i="9"/>
  <c r="Z26" i="9"/>
  <c r="AB26" i="9" s="1"/>
  <c r="Y26" i="9"/>
  <c r="X26" i="9"/>
  <c r="W26" i="9"/>
  <c r="AA26" i="9" s="1"/>
  <c r="AC26" i="9" s="1"/>
  <c r="V26" i="9"/>
  <c r="Z25" i="9"/>
  <c r="AB25" i="9" s="1"/>
  <c r="Y25" i="9"/>
  <c r="X25" i="9"/>
  <c r="W25" i="9"/>
  <c r="AA25" i="9" s="1"/>
  <c r="AC25" i="9" s="1"/>
  <c r="V25" i="9"/>
  <c r="Z24" i="9"/>
  <c r="AB24" i="9" s="1"/>
  <c r="Y24" i="9"/>
  <c r="X24" i="9"/>
  <c r="W24" i="9"/>
  <c r="AA24" i="9" s="1"/>
  <c r="AC24" i="9" s="1"/>
  <c r="V24" i="9"/>
  <c r="S24" i="9"/>
  <c r="W23" i="9"/>
  <c r="Y23" i="9" s="1"/>
  <c r="U23" i="9"/>
  <c r="S23" i="9"/>
  <c r="Q23" i="9"/>
  <c r="O23" i="9"/>
  <c r="M23" i="9"/>
  <c r="M15" i="9" s="1"/>
  <c r="M73" i="9" s="1"/>
  <c r="J23" i="9"/>
  <c r="H23" i="9"/>
  <c r="AC22" i="9"/>
  <c r="AA22" i="9"/>
  <c r="Y22" i="9"/>
  <c r="W22" i="9"/>
  <c r="V22" i="9"/>
  <c r="X22" i="9" s="1"/>
  <c r="V21" i="9"/>
  <c r="Z21" i="9" s="1"/>
  <c r="AB21" i="9" s="1"/>
  <c r="S21" i="9"/>
  <c r="W21" i="9" s="1"/>
  <c r="W20" i="9"/>
  <c r="Y20" i="9" s="1"/>
  <c r="V20" i="9"/>
  <c r="Z20" i="9" s="1"/>
  <c r="AB20" i="9" s="1"/>
  <c r="W19" i="9"/>
  <c r="Y19" i="9" s="1"/>
  <c r="V19" i="9"/>
  <c r="Z19" i="9" s="1"/>
  <c r="AB19" i="9" s="1"/>
  <c r="W18" i="9"/>
  <c r="AA18" i="9" s="1"/>
  <c r="AC18" i="9" s="1"/>
  <c r="V18" i="9"/>
  <c r="Z18" i="9" s="1"/>
  <c r="AB18" i="9" s="1"/>
  <c r="W17" i="9"/>
  <c r="Y17" i="9" s="1"/>
  <c r="V17" i="9"/>
  <c r="Z17" i="9" s="1"/>
  <c r="AB17" i="9" s="1"/>
  <c r="U16" i="9"/>
  <c r="U15" i="9" s="1"/>
  <c r="Q16" i="9"/>
  <c r="O16" i="9"/>
  <c r="O15" i="9" s="1"/>
  <c r="M16" i="9"/>
  <c r="Q15" i="9"/>
  <c r="AA27" i="9" l="1"/>
  <c r="Y27" i="9"/>
  <c r="AA45" i="9"/>
  <c r="Y45" i="9"/>
  <c r="AC56" i="9"/>
  <c r="AA31" i="9"/>
  <c r="Y31" i="9"/>
  <c r="AA59" i="9"/>
  <c r="Y59" i="9"/>
  <c r="AC42" i="9"/>
  <c r="AC45" i="9"/>
  <c r="AA21" i="9"/>
  <c r="AC21" i="9" s="1"/>
  <c r="Y21" i="9"/>
  <c r="AC31" i="9"/>
  <c r="AC23" i="9"/>
  <c r="S16" i="9"/>
  <c r="S15" i="9" s="1"/>
  <c r="X17" i="9"/>
  <c r="X18" i="9"/>
  <c r="X19" i="9"/>
  <c r="X20" i="9"/>
  <c r="X71" i="9" s="1"/>
  <c r="AA23" i="9"/>
  <c r="X28" i="9"/>
  <c r="X38" i="9"/>
  <c r="X39" i="9"/>
  <c r="X40" i="9"/>
  <c r="X41" i="9"/>
  <c r="Y49" i="9"/>
  <c r="Y50" i="9"/>
  <c r="Y51" i="9"/>
  <c r="Y52" i="9"/>
  <c r="Y53" i="9"/>
  <c r="Y54" i="9"/>
  <c r="Y55" i="9"/>
  <c r="X57" i="9"/>
  <c r="X58" i="9"/>
  <c r="X63" i="9"/>
  <c r="X64" i="9"/>
  <c r="Y67" i="9"/>
  <c r="X69" i="9"/>
  <c r="X70" i="9"/>
  <c r="Y18" i="9"/>
  <c r="Y39" i="9"/>
  <c r="Y41" i="9"/>
  <c r="W48" i="9"/>
  <c r="Y57" i="9"/>
  <c r="Y58" i="9"/>
  <c r="X60" i="9"/>
  <c r="X61" i="9"/>
  <c r="Y62" i="9"/>
  <c r="Y63" i="9"/>
  <c r="Y64" i="9"/>
  <c r="W66" i="9"/>
  <c r="Y69" i="9"/>
  <c r="Y70" i="9"/>
  <c r="W37" i="9"/>
  <c r="W56" i="9"/>
  <c r="Y60" i="9"/>
  <c r="W68" i="9"/>
  <c r="X21" i="9"/>
  <c r="Y38" i="9"/>
  <c r="Y40" i="9"/>
  <c r="W16" i="9"/>
  <c r="AA17" i="9"/>
  <c r="AC17" i="9" s="1"/>
  <c r="AA19" i="9"/>
  <c r="AC19" i="9" s="1"/>
  <c r="AA20" i="9"/>
  <c r="AC20" i="9" s="1"/>
  <c r="Z22" i="9"/>
  <c r="AB22" i="9" s="1"/>
  <c r="AA28" i="9"/>
  <c r="AC28" i="9" s="1"/>
  <c r="AC27" i="9" s="1"/>
  <c r="X30" i="9"/>
  <c r="X43" i="9"/>
  <c r="X44" i="9"/>
  <c r="X73" i="9" l="1"/>
  <c r="X74" i="9" s="1"/>
  <c r="X72" i="9"/>
  <c r="AA16" i="9"/>
  <c r="Y16" i="9"/>
  <c r="W15" i="9"/>
  <c r="AA66" i="9"/>
  <c r="Y66" i="9"/>
  <c r="AA56" i="9"/>
  <c r="Y56" i="9"/>
  <c r="AC16" i="9"/>
  <c r="AA68" i="9"/>
  <c r="Y68" i="9"/>
  <c r="AA37" i="9"/>
  <c r="Y37" i="9"/>
  <c r="AA48" i="9"/>
  <c r="Y48" i="9"/>
  <c r="W73" i="9" l="1"/>
  <c r="AA15" i="9"/>
  <c r="AC15" i="9" s="1"/>
  <c r="Y15" i="9"/>
  <c r="Y73" i="9" l="1"/>
  <c r="Y74" i="9" s="1"/>
  <c r="Y71" i="9"/>
  <c r="Y72" i="9" s="1"/>
  <c r="Y67" i="8" l="1"/>
  <c r="AA67" i="8" s="1"/>
  <c r="U67" i="8"/>
  <c r="W67" i="8" s="1"/>
  <c r="T67" i="8"/>
  <c r="V67" i="8" s="1"/>
  <c r="Y66" i="8"/>
  <c r="AA66" i="8" s="1"/>
  <c r="AA65" i="8" s="1"/>
  <c r="U66" i="8"/>
  <c r="W66" i="8" s="1"/>
  <c r="T66" i="8"/>
  <c r="V66" i="8" s="1"/>
  <c r="U65" i="8"/>
  <c r="Y65" i="8" s="1"/>
  <c r="S65" i="8"/>
  <c r="Q65" i="8"/>
  <c r="O65" i="8"/>
  <c r="M65" i="8"/>
  <c r="K65" i="8"/>
  <c r="Y64" i="8"/>
  <c r="AA64" i="8" s="1"/>
  <c r="U64" i="8"/>
  <c r="W64" i="8" s="1"/>
  <c r="T64" i="8"/>
  <c r="V64" i="8" s="1"/>
  <c r="Y63" i="8"/>
  <c r="AA63" i="8" s="1"/>
  <c r="AA62" i="8" s="1"/>
  <c r="U63" i="8"/>
  <c r="T63" i="8"/>
  <c r="V63" i="8" s="1"/>
  <c r="S62" i="8"/>
  <c r="Q62" i="8"/>
  <c r="O62" i="8"/>
  <c r="M62" i="8"/>
  <c r="K62" i="8"/>
  <c r="Z61" i="8"/>
  <c r="V61" i="8"/>
  <c r="U61" i="8"/>
  <c r="W61" i="8" s="1"/>
  <c r="T61" i="8"/>
  <c r="X61" i="8" s="1"/>
  <c r="Y60" i="8"/>
  <c r="U60" i="8"/>
  <c r="W60" i="8" s="1"/>
  <c r="T60" i="8"/>
  <c r="V60" i="8" s="1"/>
  <c r="Y59" i="8"/>
  <c r="AA59" i="8" s="1"/>
  <c r="U59" i="8"/>
  <c r="W59" i="8" s="1"/>
  <c r="T59" i="8"/>
  <c r="V59" i="8" s="1"/>
  <c r="Y58" i="8"/>
  <c r="AA58" i="8" s="1"/>
  <c r="X58" i="8"/>
  <c r="Z58" i="8" s="1"/>
  <c r="V58" i="8"/>
  <c r="U58" i="8"/>
  <c r="W58" i="8" s="1"/>
  <c r="AA57" i="8"/>
  <c r="Y57" i="8"/>
  <c r="X57" i="8"/>
  <c r="Z57" i="8" s="1"/>
  <c r="W57" i="8"/>
  <c r="U57" i="8"/>
  <c r="T57" i="8"/>
  <c r="V57" i="8" s="1"/>
  <c r="Y56" i="8"/>
  <c r="AA56" i="8" s="1"/>
  <c r="X56" i="8"/>
  <c r="Z56" i="8" s="1"/>
  <c r="W56" i="8"/>
  <c r="U56" i="8"/>
  <c r="T56" i="8"/>
  <c r="V56" i="8" s="1"/>
  <c r="Y55" i="8"/>
  <c r="AA55" i="8" s="1"/>
  <c r="X55" i="8"/>
  <c r="Z55" i="8" s="1"/>
  <c r="W55" i="8"/>
  <c r="U55" i="8"/>
  <c r="T55" i="8"/>
  <c r="V55" i="8" s="1"/>
  <c r="AA54" i="8"/>
  <c r="Y54" i="8"/>
  <c r="X54" i="8"/>
  <c r="Z54" i="8" s="1"/>
  <c r="W54" i="8"/>
  <c r="U54" i="8"/>
  <c r="T54" i="8"/>
  <c r="V54" i="8" s="1"/>
  <c r="U53" i="8"/>
  <c r="Y53" i="8" s="1"/>
  <c r="S53" i="8"/>
  <c r="Q53" i="8"/>
  <c r="O53" i="8"/>
  <c r="M53" i="8"/>
  <c r="K53" i="8"/>
  <c r="Y52" i="8"/>
  <c r="AA52" i="8" s="1"/>
  <c r="X52" i="8"/>
  <c r="Z52" i="8" s="1"/>
  <c r="U52" i="8"/>
  <c r="W52" i="8" s="1"/>
  <c r="T52" i="8"/>
  <c r="V52" i="8" s="1"/>
  <c r="Z51" i="8"/>
  <c r="Y51" i="8"/>
  <c r="AA51" i="8" s="1"/>
  <c r="AA50" i="8" s="1"/>
  <c r="X51" i="8"/>
  <c r="U51" i="8"/>
  <c r="W51" i="8" s="1"/>
  <c r="T51" i="8"/>
  <c r="V51" i="8" s="1"/>
  <c r="Y50" i="8"/>
  <c r="U50" i="8"/>
  <c r="W50" i="8" s="1"/>
  <c r="S50" i="8"/>
  <c r="Q50" i="8"/>
  <c r="O50" i="8"/>
  <c r="M50" i="8"/>
  <c r="K50" i="8"/>
  <c r="U49" i="8"/>
  <c r="W49" i="8" s="1"/>
  <c r="T49" i="8"/>
  <c r="V49" i="8" s="1"/>
  <c r="U48" i="8"/>
  <c r="W48" i="8" s="1"/>
  <c r="T48" i="8"/>
  <c r="V48" i="8" s="1"/>
  <c r="U47" i="8"/>
  <c r="W47" i="8" s="1"/>
  <c r="T47" i="8"/>
  <c r="V47" i="8" s="1"/>
  <c r="U46" i="8"/>
  <c r="W46" i="8" s="1"/>
  <c r="T46" i="8"/>
  <c r="V46" i="8" s="1"/>
  <c r="Y45" i="8"/>
  <c r="AA45" i="8" s="1"/>
  <c r="U45" i="8"/>
  <c r="W45" i="8" s="1"/>
  <c r="T45" i="8"/>
  <c r="V45" i="8" s="1"/>
  <c r="Y44" i="8"/>
  <c r="AA44" i="8" s="1"/>
  <c r="U44" i="8"/>
  <c r="W44" i="8" s="1"/>
  <c r="T44" i="8"/>
  <c r="V44" i="8" s="1"/>
  <c r="Y43" i="8"/>
  <c r="AA43" i="8" s="1"/>
  <c r="U43" i="8"/>
  <c r="T43" i="8"/>
  <c r="V43" i="8" s="1"/>
  <c r="S42" i="8"/>
  <c r="Q42" i="8"/>
  <c r="O42" i="8"/>
  <c r="M42" i="8"/>
  <c r="K42" i="8"/>
  <c r="Z41" i="8"/>
  <c r="V41" i="8"/>
  <c r="U41" i="8"/>
  <c r="W41" i="8" s="1"/>
  <c r="T41" i="8"/>
  <c r="X41" i="8" s="1"/>
  <c r="V40" i="8"/>
  <c r="U40" i="8"/>
  <c r="W40" i="8" s="1"/>
  <c r="T40" i="8"/>
  <c r="X40" i="8" s="1"/>
  <c r="Z40" i="8" s="1"/>
  <c r="Z39" i="8"/>
  <c r="V39" i="8"/>
  <c r="U39" i="8"/>
  <c r="W39" i="8" s="1"/>
  <c r="T39" i="8"/>
  <c r="X39" i="8" s="1"/>
  <c r="S38" i="8"/>
  <c r="Q38" i="8"/>
  <c r="O38" i="8"/>
  <c r="M38" i="8"/>
  <c r="K38" i="8"/>
  <c r="H38" i="8"/>
  <c r="F38" i="8"/>
  <c r="Y37" i="8"/>
  <c r="AA37" i="8" s="1"/>
  <c r="X37" i="8"/>
  <c r="Z37" i="8" s="1"/>
  <c r="W37" i="8"/>
  <c r="V37" i="8"/>
  <c r="U37" i="8"/>
  <c r="T37" i="8"/>
  <c r="X36" i="8"/>
  <c r="Z36" i="8" s="1"/>
  <c r="W36" i="8"/>
  <c r="V36" i="8"/>
  <c r="U36" i="8"/>
  <c r="Y36" i="8" s="1"/>
  <c r="AA36" i="8" s="1"/>
  <c r="T36" i="8"/>
  <c r="X35" i="8"/>
  <c r="Z35" i="8" s="1"/>
  <c r="V35" i="8"/>
  <c r="U35" i="8"/>
  <c r="U34" i="8" s="1"/>
  <c r="Y34" i="8" s="1"/>
  <c r="T35" i="8"/>
  <c r="S34" i="8"/>
  <c r="Q34" i="8"/>
  <c r="O34" i="8"/>
  <c r="M34" i="8"/>
  <c r="K34" i="8"/>
  <c r="H34" i="8"/>
  <c r="F34" i="8"/>
  <c r="Z33" i="8"/>
  <c r="Y33" i="8"/>
  <c r="AA33" i="8" s="1"/>
  <c r="AA32" i="8" s="1"/>
  <c r="X33" i="8"/>
  <c r="U33" i="8"/>
  <c r="W33" i="8" s="1"/>
  <c r="T33" i="8"/>
  <c r="V33" i="8" s="1"/>
  <c r="Y32" i="8"/>
  <c r="W32" i="8"/>
  <c r="U32" i="8"/>
  <c r="S32" i="8"/>
  <c r="Q32" i="8"/>
  <c r="O32" i="8"/>
  <c r="M32" i="8"/>
  <c r="K32" i="8"/>
  <c r="F32" i="8"/>
  <c r="Z31" i="8"/>
  <c r="V31" i="8"/>
  <c r="U31" i="8"/>
  <c r="W31" i="8" s="1"/>
  <c r="T31" i="8"/>
  <c r="X31" i="8" s="1"/>
  <c r="V30" i="8"/>
  <c r="U30" i="8"/>
  <c r="W30" i="8" s="1"/>
  <c r="T30" i="8"/>
  <c r="X30" i="8" s="1"/>
  <c r="Z30" i="8" s="1"/>
  <c r="Z29" i="8"/>
  <c r="V29" i="8"/>
  <c r="U29" i="8"/>
  <c r="W29" i="8" s="1"/>
  <c r="T29" i="8"/>
  <c r="X29" i="8" s="1"/>
  <c r="Z28" i="8"/>
  <c r="V28" i="8"/>
  <c r="U28" i="8"/>
  <c r="W28" i="8" s="1"/>
  <c r="T28" i="8"/>
  <c r="X28" i="8" s="1"/>
  <c r="U27" i="8"/>
  <c r="W27" i="8" s="1"/>
  <c r="T27" i="8"/>
  <c r="X27" i="8" s="1"/>
  <c r="Z27" i="8" s="1"/>
  <c r="S26" i="8"/>
  <c r="Q26" i="8"/>
  <c r="O26" i="8"/>
  <c r="M26" i="8"/>
  <c r="K26" i="8"/>
  <c r="H26" i="8"/>
  <c r="F26" i="8"/>
  <c r="Y25" i="8"/>
  <c r="AA25" i="8" s="1"/>
  <c r="X25" i="8"/>
  <c r="Z25" i="8" s="1"/>
  <c r="W25" i="8"/>
  <c r="V25" i="8"/>
  <c r="U25" i="8"/>
  <c r="T25" i="8"/>
  <c r="Y24" i="8"/>
  <c r="AA24" i="8" s="1"/>
  <c r="AA23" i="8" s="1"/>
  <c r="X24" i="8"/>
  <c r="Z24" i="8" s="1"/>
  <c r="W24" i="8"/>
  <c r="V24" i="8"/>
  <c r="U24" i="8"/>
  <c r="U23" i="8" s="1"/>
  <c r="Y23" i="8" s="1"/>
  <c r="T24" i="8"/>
  <c r="S23" i="8"/>
  <c r="Q23" i="8"/>
  <c r="O23" i="8"/>
  <c r="M23" i="8"/>
  <c r="K23" i="8"/>
  <c r="H23" i="8"/>
  <c r="F23" i="8"/>
  <c r="Y22" i="8"/>
  <c r="AA22" i="8" s="1"/>
  <c r="AA21" i="8" s="1"/>
  <c r="X22" i="8"/>
  <c r="Z22" i="8" s="1"/>
  <c r="W22" i="8"/>
  <c r="U22" i="8"/>
  <c r="T22" i="8"/>
  <c r="V22" i="8" s="1"/>
  <c r="W21" i="8"/>
  <c r="U21" i="8"/>
  <c r="S21" i="8"/>
  <c r="Q21" i="8"/>
  <c r="O21" i="8"/>
  <c r="M21" i="8"/>
  <c r="K21" i="8"/>
  <c r="H21" i="8"/>
  <c r="Y21" i="8" s="1"/>
  <c r="F21" i="8"/>
  <c r="U20" i="8"/>
  <c r="Y20" i="8" s="1"/>
  <c r="AA20" i="8" s="1"/>
  <c r="T20" i="8"/>
  <c r="AA19" i="8"/>
  <c r="U19" i="8"/>
  <c r="Y19" i="8" s="1"/>
  <c r="T19" i="8"/>
  <c r="U18" i="8"/>
  <c r="T18" i="8"/>
  <c r="S17" i="8"/>
  <c r="S9" i="8" s="1"/>
  <c r="Q17" i="8"/>
  <c r="O17" i="8"/>
  <c r="M17" i="8"/>
  <c r="K17" i="8"/>
  <c r="H17" i="8"/>
  <c r="F17" i="8"/>
  <c r="Z16" i="8"/>
  <c r="Y16" i="8"/>
  <c r="AA16" i="8" s="1"/>
  <c r="X16" i="8"/>
  <c r="W16" i="8"/>
  <c r="V16" i="8"/>
  <c r="U16" i="8"/>
  <c r="T16" i="8"/>
  <c r="Z15" i="8"/>
  <c r="Y15" i="8"/>
  <c r="AA15" i="8" s="1"/>
  <c r="X15" i="8"/>
  <c r="W15" i="8"/>
  <c r="V15" i="8"/>
  <c r="U15" i="8"/>
  <c r="T15" i="8"/>
  <c r="Z14" i="8"/>
  <c r="Y14" i="8"/>
  <c r="AA14" i="8" s="1"/>
  <c r="X14" i="8"/>
  <c r="W14" i="8"/>
  <c r="V14" i="8"/>
  <c r="U14" i="8"/>
  <c r="T14" i="8"/>
  <c r="Z13" i="8"/>
  <c r="Y13" i="8"/>
  <c r="AA13" i="8" s="1"/>
  <c r="X13" i="8"/>
  <c r="W13" i="8"/>
  <c r="V13" i="8"/>
  <c r="U13" i="8"/>
  <c r="T13" i="8"/>
  <c r="Y12" i="8"/>
  <c r="AA12" i="8" s="1"/>
  <c r="X12" i="8"/>
  <c r="Z12" i="8" s="1"/>
  <c r="W12" i="8"/>
  <c r="V12" i="8"/>
  <c r="U12" i="8"/>
  <c r="T12" i="8"/>
  <c r="Z11" i="8"/>
  <c r="Y11" i="8"/>
  <c r="AA11" i="8" s="1"/>
  <c r="X11" i="8"/>
  <c r="W11" i="8"/>
  <c r="V11" i="8"/>
  <c r="U11" i="8"/>
  <c r="T11" i="8"/>
  <c r="U10" i="8"/>
  <c r="W10" i="8" s="1"/>
  <c r="S10" i="8"/>
  <c r="Q10" i="8"/>
  <c r="O10" i="8"/>
  <c r="O9" i="8" s="1"/>
  <c r="M10" i="8"/>
  <c r="M9" i="8" s="1"/>
  <c r="K10" i="8"/>
  <c r="K9" i="8"/>
  <c r="K71" i="8" s="1"/>
  <c r="V67" i="7"/>
  <c r="U67" i="7"/>
  <c r="W67" i="7" s="1"/>
  <c r="T67" i="7"/>
  <c r="X67" i="7" s="1"/>
  <c r="Z67" i="7" s="1"/>
  <c r="Z66" i="7"/>
  <c r="V66" i="7"/>
  <c r="U66" i="7"/>
  <c r="W66" i="7" s="1"/>
  <c r="T66" i="7"/>
  <c r="X66" i="7" s="1"/>
  <c r="S65" i="7"/>
  <c r="Q65" i="7"/>
  <c r="O65" i="7"/>
  <c r="M65" i="7"/>
  <c r="K65" i="7"/>
  <c r="W64" i="7"/>
  <c r="U64" i="7"/>
  <c r="Y64" i="7" s="1"/>
  <c r="AA64" i="7" s="1"/>
  <c r="T64" i="7"/>
  <c r="U63" i="7"/>
  <c r="W63" i="7" s="1"/>
  <c r="T63" i="7"/>
  <c r="S62" i="7"/>
  <c r="Q62" i="7"/>
  <c r="O62" i="7"/>
  <c r="M62" i="7"/>
  <c r="K62" i="7"/>
  <c r="U61" i="7"/>
  <c r="T61" i="7"/>
  <c r="V61" i="7" s="1"/>
  <c r="V60" i="7"/>
  <c r="U60" i="7"/>
  <c r="W60" i="7" s="1"/>
  <c r="T60" i="7"/>
  <c r="X60" i="7" s="1"/>
  <c r="Z59" i="7"/>
  <c r="U59" i="7"/>
  <c r="W59" i="7" s="1"/>
  <c r="T59" i="7"/>
  <c r="X59" i="7" s="1"/>
  <c r="U58" i="7"/>
  <c r="W58" i="7" s="1"/>
  <c r="T58" i="7"/>
  <c r="X58" i="7" s="1"/>
  <c r="Z58" i="7" s="1"/>
  <c r="V57" i="7"/>
  <c r="U57" i="7"/>
  <c r="W57" i="7" s="1"/>
  <c r="T57" i="7"/>
  <c r="X57" i="7" s="1"/>
  <c r="Z57" i="7" s="1"/>
  <c r="Z56" i="7"/>
  <c r="V56" i="7"/>
  <c r="U56" i="7"/>
  <c r="W56" i="7" s="1"/>
  <c r="T56" i="7"/>
  <c r="X56" i="7" s="1"/>
  <c r="Z55" i="7"/>
  <c r="V55" i="7"/>
  <c r="U55" i="7"/>
  <c r="W55" i="7" s="1"/>
  <c r="T55" i="7"/>
  <c r="X55" i="7" s="1"/>
  <c r="U54" i="7"/>
  <c r="W54" i="7" s="1"/>
  <c r="T54" i="7"/>
  <c r="X54" i="7" s="1"/>
  <c r="Z54" i="7" s="1"/>
  <c r="S53" i="7"/>
  <c r="Q53" i="7"/>
  <c r="O53" i="7"/>
  <c r="M53" i="7"/>
  <c r="K53" i="7"/>
  <c r="AA52" i="7"/>
  <c r="W52" i="7"/>
  <c r="U52" i="7"/>
  <c r="Y52" i="7" s="1"/>
  <c r="T52" i="7"/>
  <c r="W51" i="7"/>
  <c r="U51" i="7"/>
  <c r="T51" i="7"/>
  <c r="S50" i="7"/>
  <c r="Q50" i="7"/>
  <c r="O50" i="7"/>
  <c r="M50" i="7"/>
  <c r="K50" i="7"/>
  <c r="V49" i="7"/>
  <c r="U49" i="7"/>
  <c r="T49" i="7"/>
  <c r="X49" i="7" s="1"/>
  <c r="Z49" i="7" s="1"/>
  <c r="U48" i="7"/>
  <c r="T48" i="7"/>
  <c r="X48" i="7" s="1"/>
  <c r="Z48" i="7" s="1"/>
  <c r="V47" i="7"/>
  <c r="U47" i="7"/>
  <c r="T47" i="7"/>
  <c r="X47" i="7" s="1"/>
  <c r="Z47" i="7" s="1"/>
  <c r="U46" i="7"/>
  <c r="T46" i="7"/>
  <c r="X46" i="7" s="1"/>
  <c r="Z46" i="7" s="1"/>
  <c r="V45" i="7"/>
  <c r="U45" i="7"/>
  <c r="T45" i="7"/>
  <c r="X45" i="7" s="1"/>
  <c r="Z45" i="7" s="1"/>
  <c r="U44" i="7"/>
  <c r="T44" i="7"/>
  <c r="X44" i="7" s="1"/>
  <c r="Z44" i="7" s="1"/>
  <c r="V43" i="7"/>
  <c r="U43" i="7"/>
  <c r="U42" i="7" s="1"/>
  <c r="T43" i="7"/>
  <c r="X43" i="7" s="1"/>
  <c r="Z43" i="7" s="1"/>
  <c r="S42" i="7"/>
  <c r="Q42" i="7"/>
  <c r="O42" i="7"/>
  <c r="M42" i="7"/>
  <c r="K42" i="7"/>
  <c r="X41" i="7"/>
  <c r="Z41" i="7" s="1"/>
  <c r="V41" i="7"/>
  <c r="U41" i="7"/>
  <c r="Y41" i="7" s="1"/>
  <c r="AA41" i="7" s="1"/>
  <c r="T41" i="7"/>
  <c r="X40" i="7"/>
  <c r="Z40" i="7" s="1"/>
  <c r="W40" i="7"/>
  <c r="V40" i="7"/>
  <c r="U40" i="7"/>
  <c r="Y40" i="7" s="1"/>
  <c r="AA40" i="7" s="1"/>
  <c r="W39" i="7"/>
  <c r="U39" i="7"/>
  <c r="Y39" i="7" s="1"/>
  <c r="AA39" i="7" s="1"/>
  <c r="T39" i="7"/>
  <c r="V39" i="7" s="1"/>
  <c r="S38" i="7"/>
  <c r="Q38" i="7"/>
  <c r="O38" i="7"/>
  <c r="M38" i="7"/>
  <c r="M9" i="7" s="1"/>
  <c r="K38" i="7"/>
  <c r="H38" i="7"/>
  <c r="F38" i="7"/>
  <c r="AA37" i="7"/>
  <c r="Z37" i="7"/>
  <c r="Y37" i="7"/>
  <c r="X37" i="7"/>
  <c r="W37" i="7"/>
  <c r="V37" i="7"/>
  <c r="U37" i="7"/>
  <c r="T37" i="7"/>
  <c r="AA36" i="7"/>
  <c r="Z36" i="7"/>
  <c r="Y36" i="7"/>
  <c r="X36" i="7"/>
  <c r="W36" i="7"/>
  <c r="V36" i="7"/>
  <c r="U36" i="7"/>
  <c r="T36" i="7"/>
  <c r="AA35" i="7"/>
  <c r="Z35" i="7"/>
  <c r="Y35" i="7"/>
  <c r="X35" i="7"/>
  <c r="W35" i="7"/>
  <c r="V35" i="7"/>
  <c r="U35" i="7"/>
  <c r="T35" i="7"/>
  <c r="AA34" i="7"/>
  <c r="U34" i="7"/>
  <c r="S34" i="7"/>
  <c r="Q34" i="7"/>
  <c r="O34" i="7"/>
  <c r="M34" i="7"/>
  <c r="K34" i="7"/>
  <c r="W34" i="7" s="1"/>
  <c r="H34" i="7"/>
  <c r="Y34" i="7" s="1"/>
  <c r="F34" i="7"/>
  <c r="Z33" i="7"/>
  <c r="U33" i="7"/>
  <c r="T33" i="7"/>
  <c r="X33" i="7" s="1"/>
  <c r="S32" i="7"/>
  <c r="Q32" i="7"/>
  <c r="O32" i="7"/>
  <c r="M32" i="7"/>
  <c r="K32" i="7"/>
  <c r="F32" i="7"/>
  <c r="W31" i="7"/>
  <c r="U31" i="7"/>
  <c r="Y31" i="7" s="1"/>
  <c r="AA31" i="7" s="1"/>
  <c r="T31" i="7"/>
  <c r="X31" i="7" s="1"/>
  <c r="Z31" i="7" s="1"/>
  <c r="V30" i="7"/>
  <c r="U30" i="7"/>
  <c r="Y30" i="7" s="1"/>
  <c r="AA30" i="7" s="1"/>
  <c r="T30" i="7"/>
  <c r="X30" i="7" s="1"/>
  <c r="Z30" i="7" s="1"/>
  <c r="X29" i="7"/>
  <c r="Z29" i="7" s="1"/>
  <c r="V29" i="7"/>
  <c r="U29" i="7"/>
  <c r="Y29" i="7" s="1"/>
  <c r="AA29" i="7" s="1"/>
  <c r="T29" i="7"/>
  <c r="X28" i="7"/>
  <c r="Z28" i="7" s="1"/>
  <c r="W28" i="7"/>
  <c r="V28" i="7"/>
  <c r="U28" i="7"/>
  <c r="Y28" i="7" s="1"/>
  <c r="AA28" i="7" s="1"/>
  <c r="T28" i="7"/>
  <c r="X27" i="7"/>
  <c r="Z27" i="7" s="1"/>
  <c r="U27" i="7"/>
  <c r="Y27" i="7" s="1"/>
  <c r="AA27" i="7" s="1"/>
  <c r="AA26" i="7" s="1"/>
  <c r="T27" i="7"/>
  <c r="V27" i="7" s="1"/>
  <c r="S26" i="7"/>
  <c r="Q26" i="7"/>
  <c r="O26" i="7"/>
  <c r="M26" i="7"/>
  <c r="K26" i="7"/>
  <c r="H26" i="7"/>
  <c r="F26" i="7"/>
  <c r="AA25" i="7"/>
  <c r="Y25" i="7"/>
  <c r="X25" i="7"/>
  <c r="Z25" i="7" s="1"/>
  <c r="W25" i="7"/>
  <c r="V25" i="7"/>
  <c r="U25" i="7"/>
  <c r="T25" i="7"/>
  <c r="AA24" i="7"/>
  <c r="Y24" i="7"/>
  <c r="X24" i="7"/>
  <c r="Z24" i="7" s="1"/>
  <c r="W24" i="7"/>
  <c r="V24" i="7"/>
  <c r="U24" i="7"/>
  <c r="T24" i="7"/>
  <c r="AA23" i="7"/>
  <c r="U23" i="7"/>
  <c r="Y23" i="7" s="1"/>
  <c r="S23" i="7"/>
  <c r="Q23" i="7"/>
  <c r="O23" i="7"/>
  <c r="M23" i="7"/>
  <c r="K23" i="7"/>
  <c r="H23" i="7"/>
  <c r="F23" i="7"/>
  <c r="V22" i="7"/>
  <c r="U22" i="7"/>
  <c r="T22" i="7"/>
  <c r="X22" i="7" s="1"/>
  <c r="Z22" i="7" s="1"/>
  <c r="S21" i="7"/>
  <c r="Q21" i="7"/>
  <c r="O21" i="7"/>
  <c r="M21" i="7"/>
  <c r="K21" i="7"/>
  <c r="H21" i="7"/>
  <c r="F21" i="7"/>
  <c r="Y20" i="7"/>
  <c r="AA20" i="7" s="1"/>
  <c r="V20" i="7"/>
  <c r="U20" i="7"/>
  <c r="W20" i="7" s="1"/>
  <c r="T20" i="7"/>
  <c r="X20" i="7" s="1"/>
  <c r="Z20" i="7" s="1"/>
  <c r="Y19" i="7"/>
  <c r="AA19" i="7" s="1"/>
  <c r="W19" i="7"/>
  <c r="U19" i="7"/>
  <c r="T19" i="7"/>
  <c r="V19" i="7" s="1"/>
  <c r="X18" i="7"/>
  <c r="Z18" i="7" s="1"/>
  <c r="U18" i="7"/>
  <c r="Y18" i="7" s="1"/>
  <c r="AA18" i="7" s="1"/>
  <c r="AA17" i="7" s="1"/>
  <c r="T18" i="7"/>
  <c r="V18" i="7" s="1"/>
  <c r="S17" i="7"/>
  <c r="Q17" i="7"/>
  <c r="O17" i="7"/>
  <c r="M17" i="7"/>
  <c r="K17" i="7"/>
  <c r="H17" i="7"/>
  <c r="F17" i="7"/>
  <c r="X16" i="7"/>
  <c r="Z16" i="7" s="1"/>
  <c r="U16" i="7"/>
  <c r="W16" i="7" s="1"/>
  <c r="T16" i="7"/>
  <c r="V16" i="7" s="1"/>
  <c r="X15" i="7"/>
  <c r="Z15" i="7" s="1"/>
  <c r="U15" i="7"/>
  <c r="W15" i="7" s="1"/>
  <c r="T15" i="7"/>
  <c r="V15" i="7" s="1"/>
  <c r="X14" i="7"/>
  <c r="Z14" i="7" s="1"/>
  <c r="U14" i="7"/>
  <c r="W14" i="7" s="1"/>
  <c r="T14" i="7"/>
  <c r="V14" i="7" s="1"/>
  <c r="X13" i="7"/>
  <c r="Z13" i="7" s="1"/>
  <c r="U13" i="7"/>
  <c r="W13" i="7" s="1"/>
  <c r="T13" i="7"/>
  <c r="V13" i="7" s="1"/>
  <c r="X12" i="7"/>
  <c r="Z12" i="7" s="1"/>
  <c r="U12" i="7"/>
  <c r="T12" i="7"/>
  <c r="V12" i="7" s="1"/>
  <c r="X11" i="7"/>
  <c r="Z11" i="7" s="1"/>
  <c r="U11" i="7"/>
  <c r="T11" i="7"/>
  <c r="V11" i="7" s="1"/>
  <c r="S10" i="7"/>
  <c r="S9" i="7" s="1"/>
  <c r="Q10" i="7"/>
  <c r="O10" i="7"/>
  <c r="O9" i="7" s="1"/>
  <c r="M10" i="7"/>
  <c r="K10" i="7"/>
  <c r="K9" i="7" s="1"/>
  <c r="K71" i="7" s="1"/>
  <c r="Q9" i="7"/>
  <c r="Y67" i="6"/>
  <c r="AA67" i="6" s="1"/>
  <c r="W67" i="6"/>
  <c r="U67" i="6"/>
  <c r="T67" i="6"/>
  <c r="Y66" i="6"/>
  <c r="AA66" i="6" s="1"/>
  <c r="AA65" i="6" s="1"/>
  <c r="W66" i="6"/>
  <c r="U66" i="6"/>
  <c r="T66" i="6"/>
  <c r="W65" i="6"/>
  <c r="U65" i="6"/>
  <c r="Y65" i="6" s="1"/>
  <c r="S65" i="6"/>
  <c r="Q65" i="6"/>
  <c r="O65" i="6"/>
  <c r="M65" i="6"/>
  <c r="K65" i="6"/>
  <c r="Z64" i="6"/>
  <c r="X64" i="6"/>
  <c r="U64" i="6"/>
  <c r="T64" i="6"/>
  <c r="V64" i="6" s="1"/>
  <c r="Z63" i="6"/>
  <c r="X63" i="6"/>
  <c r="U63" i="6"/>
  <c r="T63" i="6"/>
  <c r="V63" i="6" s="1"/>
  <c r="S62" i="6"/>
  <c r="Q62" i="6"/>
  <c r="O62" i="6"/>
  <c r="M62" i="6"/>
  <c r="K62" i="6"/>
  <c r="AA61" i="6"/>
  <c r="Y61" i="6"/>
  <c r="V61" i="6"/>
  <c r="U61" i="6"/>
  <c r="W61" i="6" s="1"/>
  <c r="T61" i="6"/>
  <c r="X61" i="6" s="1"/>
  <c r="Z61" i="6" s="1"/>
  <c r="Y60" i="6"/>
  <c r="W60" i="6"/>
  <c r="U60" i="6"/>
  <c r="T60" i="6"/>
  <c r="Y59" i="6"/>
  <c r="AA59" i="6" s="1"/>
  <c r="W59" i="6"/>
  <c r="U59" i="6"/>
  <c r="T59" i="6"/>
  <c r="Y58" i="6"/>
  <c r="AA58" i="6" s="1"/>
  <c r="W58" i="6"/>
  <c r="U58" i="6"/>
  <c r="T58" i="6"/>
  <c r="Y57" i="6"/>
  <c r="AA57" i="6" s="1"/>
  <c r="W57" i="6"/>
  <c r="U57" i="6"/>
  <c r="T57" i="6"/>
  <c r="Y56" i="6"/>
  <c r="AA56" i="6" s="1"/>
  <c r="W56" i="6"/>
  <c r="U56" i="6"/>
  <c r="T56" i="6"/>
  <c r="Y55" i="6"/>
  <c r="AA55" i="6" s="1"/>
  <c r="W55" i="6"/>
  <c r="U55" i="6"/>
  <c r="T55" i="6"/>
  <c r="Y54" i="6"/>
  <c r="AA54" i="6" s="1"/>
  <c r="AA53" i="6" s="1"/>
  <c r="W54" i="6"/>
  <c r="U54" i="6"/>
  <c r="T54" i="6"/>
  <c r="W53" i="6"/>
  <c r="U53" i="6"/>
  <c r="Y53" i="6" s="1"/>
  <c r="S53" i="6"/>
  <c r="Q53" i="6"/>
  <c r="O53" i="6"/>
  <c r="M53" i="6"/>
  <c r="K53" i="6"/>
  <c r="Z52" i="6"/>
  <c r="X52" i="6"/>
  <c r="V52" i="6"/>
  <c r="U52" i="6"/>
  <c r="T52" i="6"/>
  <c r="Z51" i="6"/>
  <c r="X51" i="6"/>
  <c r="V51" i="6"/>
  <c r="U51" i="6"/>
  <c r="T51" i="6"/>
  <c r="S50" i="6"/>
  <c r="Q50" i="6"/>
  <c r="O50" i="6"/>
  <c r="M50" i="6"/>
  <c r="K50" i="6"/>
  <c r="AA49" i="6"/>
  <c r="Y49" i="6"/>
  <c r="W49" i="6"/>
  <c r="V49" i="6"/>
  <c r="U49" i="6"/>
  <c r="T49" i="6"/>
  <c r="X49" i="6" s="1"/>
  <c r="Z49" i="6" s="1"/>
  <c r="AA48" i="6"/>
  <c r="Y48" i="6"/>
  <c r="W48" i="6"/>
  <c r="V48" i="6"/>
  <c r="U48" i="6"/>
  <c r="T48" i="6"/>
  <c r="X48" i="6" s="1"/>
  <c r="Z48" i="6" s="1"/>
  <c r="AA47" i="6"/>
  <c r="Y47" i="6"/>
  <c r="W47" i="6"/>
  <c r="V47" i="6"/>
  <c r="U47" i="6"/>
  <c r="T47" i="6"/>
  <c r="X47" i="6" s="1"/>
  <c r="Z47" i="6" s="1"/>
  <c r="AA46" i="6"/>
  <c r="Y46" i="6"/>
  <c r="W46" i="6"/>
  <c r="V46" i="6"/>
  <c r="U46" i="6"/>
  <c r="T46" i="6"/>
  <c r="X46" i="6" s="1"/>
  <c r="Z46" i="6" s="1"/>
  <c r="AA45" i="6"/>
  <c r="Y45" i="6"/>
  <c r="W45" i="6"/>
  <c r="V45" i="6"/>
  <c r="U45" i="6"/>
  <c r="T45" i="6"/>
  <c r="X45" i="6" s="1"/>
  <c r="Z45" i="6" s="1"/>
  <c r="AA44" i="6"/>
  <c r="Y44" i="6"/>
  <c r="W44" i="6"/>
  <c r="V44" i="6"/>
  <c r="U44" i="6"/>
  <c r="T44" i="6"/>
  <c r="X44" i="6" s="1"/>
  <c r="Z44" i="6" s="1"/>
  <c r="AA43" i="6"/>
  <c r="Y43" i="6"/>
  <c r="W43" i="6"/>
  <c r="V43" i="6"/>
  <c r="U43" i="6"/>
  <c r="U42" i="6" s="1"/>
  <c r="T43" i="6"/>
  <c r="X43" i="6" s="1"/>
  <c r="Z43" i="6" s="1"/>
  <c r="AA42" i="6"/>
  <c r="S42" i="6"/>
  <c r="Q42" i="6"/>
  <c r="O42" i="6"/>
  <c r="M42" i="6"/>
  <c r="K42" i="6"/>
  <c r="W41" i="6"/>
  <c r="U41" i="6"/>
  <c r="Y41" i="6" s="1"/>
  <c r="AA41" i="6" s="1"/>
  <c r="T41" i="6"/>
  <c r="Z40" i="6"/>
  <c r="X40" i="6"/>
  <c r="W40" i="6"/>
  <c r="V40" i="6"/>
  <c r="U40" i="6"/>
  <c r="Y40" i="6" s="1"/>
  <c r="AA40" i="6" s="1"/>
  <c r="AA38" i="6" s="1"/>
  <c r="AA39" i="6"/>
  <c r="Y39" i="6"/>
  <c r="W39" i="6"/>
  <c r="V39" i="6"/>
  <c r="U39" i="6"/>
  <c r="T39" i="6"/>
  <c r="X39" i="6" s="1"/>
  <c r="Z39" i="6" s="1"/>
  <c r="S38" i="6"/>
  <c r="Q38" i="6"/>
  <c r="O38" i="6"/>
  <c r="M38" i="6"/>
  <c r="K38" i="6"/>
  <c r="H38" i="6"/>
  <c r="F38" i="6"/>
  <c r="Y37" i="6"/>
  <c r="AA37" i="6" s="1"/>
  <c r="V37" i="6"/>
  <c r="U37" i="6"/>
  <c r="W37" i="6" s="1"/>
  <c r="T37" i="6"/>
  <c r="X37" i="6" s="1"/>
  <c r="Z37" i="6" s="1"/>
  <c r="Y36" i="6"/>
  <c r="AA36" i="6" s="1"/>
  <c r="V36" i="6"/>
  <c r="U36" i="6"/>
  <c r="W36" i="6" s="1"/>
  <c r="T36" i="6"/>
  <c r="X36" i="6" s="1"/>
  <c r="Z36" i="6" s="1"/>
  <c r="Y35" i="6"/>
  <c r="AA35" i="6" s="1"/>
  <c r="V35" i="6"/>
  <c r="U35" i="6"/>
  <c r="U34" i="6" s="1"/>
  <c r="Y34" i="6" s="1"/>
  <c r="T35" i="6"/>
  <c r="X35" i="6" s="1"/>
  <c r="Z35" i="6" s="1"/>
  <c r="W34" i="6"/>
  <c r="S34" i="6"/>
  <c r="Q34" i="6"/>
  <c r="O34" i="6"/>
  <c r="M34" i="6"/>
  <c r="K34" i="6"/>
  <c r="H34" i="6"/>
  <c r="F34" i="6"/>
  <c r="Y33" i="6"/>
  <c r="AA33" i="6" s="1"/>
  <c r="AA32" i="6" s="1"/>
  <c r="W33" i="6"/>
  <c r="U33" i="6"/>
  <c r="T33" i="6"/>
  <c r="W32" i="6"/>
  <c r="U32" i="6"/>
  <c r="Y32" i="6" s="1"/>
  <c r="S32" i="6"/>
  <c r="Q32" i="6"/>
  <c r="O32" i="6"/>
  <c r="M32" i="6"/>
  <c r="K32" i="6"/>
  <c r="F32" i="6"/>
  <c r="AA31" i="6"/>
  <c r="Y31" i="6"/>
  <c r="W31" i="6"/>
  <c r="V31" i="6"/>
  <c r="U31" i="6"/>
  <c r="T31" i="6"/>
  <c r="X31" i="6" s="1"/>
  <c r="Z31" i="6" s="1"/>
  <c r="AA30" i="6"/>
  <c r="Y30" i="6"/>
  <c r="W30" i="6"/>
  <c r="V30" i="6"/>
  <c r="U30" i="6"/>
  <c r="T30" i="6"/>
  <c r="X30" i="6" s="1"/>
  <c r="Z30" i="6" s="1"/>
  <c r="AA29" i="6"/>
  <c r="Y29" i="6"/>
  <c r="W29" i="6"/>
  <c r="V29" i="6"/>
  <c r="U29" i="6"/>
  <c r="T29" i="6"/>
  <c r="X29" i="6" s="1"/>
  <c r="Z29" i="6" s="1"/>
  <c r="AA28" i="6"/>
  <c r="Y28" i="6"/>
  <c r="W28" i="6"/>
  <c r="V28" i="6"/>
  <c r="U28" i="6"/>
  <c r="T28" i="6"/>
  <c r="X28" i="6" s="1"/>
  <c r="Z28" i="6" s="1"/>
  <c r="AA27" i="6"/>
  <c r="AA26" i="6" s="1"/>
  <c r="Y27" i="6"/>
  <c r="W27" i="6"/>
  <c r="V27" i="6"/>
  <c r="U27" i="6"/>
  <c r="U26" i="6" s="1"/>
  <c r="T27" i="6"/>
  <c r="X27" i="6" s="1"/>
  <c r="Z27" i="6" s="1"/>
  <c r="S26" i="6"/>
  <c r="Q26" i="6"/>
  <c r="O26" i="6"/>
  <c r="M26" i="6"/>
  <c r="K26" i="6"/>
  <c r="H26" i="6"/>
  <c r="F26" i="6"/>
  <c r="Y25" i="6"/>
  <c r="AA25" i="6" s="1"/>
  <c r="V25" i="6"/>
  <c r="U25" i="6"/>
  <c r="W25" i="6" s="1"/>
  <c r="T25" i="6"/>
  <c r="X25" i="6" s="1"/>
  <c r="Z25" i="6" s="1"/>
  <c r="Y24" i="6"/>
  <c r="AA24" i="6" s="1"/>
  <c r="AA23" i="6" s="1"/>
  <c r="V24" i="6"/>
  <c r="U24" i="6"/>
  <c r="U23" i="6" s="1"/>
  <c r="Y23" i="6" s="1"/>
  <c r="T24" i="6"/>
  <c r="X24" i="6" s="1"/>
  <c r="Z24" i="6" s="1"/>
  <c r="S23" i="6"/>
  <c r="Q23" i="6"/>
  <c r="Q9" i="6" s="1"/>
  <c r="O23" i="6"/>
  <c r="M23" i="6"/>
  <c r="K23" i="6"/>
  <c r="H23" i="6"/>
  <c r="F23" i="6"/>
  <c r="Y22" i="6"/>
  <c r="AA22" i="6" s="1"/>
  <c r="AA21" i="6" s="1"/>
  <c r="W22" i="6"/>
  <c r="U22" i="6"/>
  <c r="U21" i="6" s="1"/>
  <c r="Y21" i="6" s="1"/>
  <c r="T22" i="6"/>
  <c r="S21" i="6"/>
  <c r="Q21" i="6"/>
  <c r="O21" i="6"/>
  <c r="M21" i="6"/>
  <c r="K21" i="6"/>
  <c r="H21" i="6"/>
  <c r="F21" i="6"/>
  <c r="W20" i="6"/>
  <c r="U20" i="6"/>
  <c r="Y20" i="6" s="1"/>
  <c r="AA20" i="6" s="1"/>
  <c r="T20" i="6"/>
  <c r="W19" i="6"/>
  <c r="U19" i="6"/>
  <c r="Y19" i="6" s="1"/>
  <c r="AA19" i="6" s="1"/>
  <c r="T19" i="6"/>
  <c r="W18" i="6"/>
  <c r="U18" i="6"/>
  <c r="Y18" i="6" s="1"/>
  <c r="AA18" i="6" s="1"/>
  <c r="AA17" i="6" s="1"/>
  <c r="T18" i="6"/>
  <c r="U17" i="6"/>
  <c r="W17" i="6" s="1"/>
  <c r="S17" i="6"/>
  <c r="Q17" i="6"/>
  <c r="O17" i="6"/>
  <c r="M17" i="6"/>
  <c r="M9" i="6" s="1"/>
  <c r="K17" i="6"/>
  <c r="H17" i="6"/>
  <c r="Y17" i="6" s="1"/>
  <c r="F17" i="6"/>
  <c r="W16" i="6"/>
  <c r="V16" i="6"/>
  <c r="U16" i="6"/>
  <c r="Y16" i="6" s="1"/>
  <c r="AA16" i="6" s="1"/>
  <c r="T16" i="6"/>
  <c r="X16" i="6" s="1"/>
  <c r="Z16" i="6" s="1"/>
  <c r="W15" i="6"/>
  <c r="V15" i="6"/>
  <c r="U15" i="6"/>
  <c r="Y15" i="6" s="1"/>
  <c r="AA15" i="6" s="1"/>
  <c r="T15" i="6"/>
  <c r="X15" i="6" s="1"/>
  <c r="Z15" i="6" s="1"/>
  <c r="W14" i="6"/>
  <c r="V14" i="6"/>
  <c r="U14" i="6"/>
  <c r="Y14" i="6" s="1"/>
  <c r="AA14" i="6" s="1"/>
  <c r="T14" i="6"/>
  <c r="X14" i="6" s="1"/>
  <c r="Z14" i="6" s="1"/>
  <c r="Z13" i="6"/>
  <c r="W13" i="6"/>
  <c r="V13" i="6"/>
  <c r="U13" i="6"/>
  <c r="Y13" i="6" s="1"/>
  <c r="AA13" i="6" s="1"/>
  <c r="T13" i="6"/>
  <c r="X13" i="6" s="1"/>
  <c r="Z12" i="6"/>
  <c r="W12" i="6"/>
  <c r="V12" i="6"/>
  <c r="U12" i="6"/>
  <c r="Y12" i="6" s="1"/>
  <c r="AA12" i="6" s="1"/>
  <c r="T12" i="6"/>
  <c r="X12" i="6" s="1"/>
  <c r="Z11" i="6"/>
  <c r="W11" i="6"/>
  <c r="V11" i="6"/>
  <c r="U11" i="6"/>
  <c r="Y11" i="6" s="1"/>
  <c r="AA11" i="6" s="1"/>
  <c r="T11" i="6"/>
  <c r="X11" i="6" s="1"/>
  <c r="S10" i="6"/>
  <c r="Q10" i="6"/>
  <c r="O10" i="6"/>
  <c r="O9" i="6" s="1"/>
  <c r="M10" i="6"/>
  <c r="K10" i="6"/>
  <c r="K9" i="6"/>
  <c r="K71" i="6" s="1"/>
  <c r="AA34" i="6" l="1"/>
  <c r="X67" i="6"/>
  <c r="Z67" i="6" s="1"/>
  <c r="V67" i="6"/>
  <c r="W12" i="7"/>
  <c r="Y12" i="7"/>
  <c r="AA12" i="7" s="1"/>
  <c r="AA10" i="6"/>
  <c r="X33" i="6"/>
  <c r="Z33" i="6" s="1"/>
  <c r="V33" i="6"/>
  <c r="V19" i="6"/>
  <c r="X19" i="6"/>
  <c r="Z19" i="6" s="1"/>
  <c r="W23" i="6"/>
  <c r="X55" i="6"/>
  <c r="Z55" i="6" s="1"/>
  <c r="V55" i="6"/>
  <c r="X57" i="6"/>
  <c r="Z57" i="6" s="1"/>
  <c r="V57" i="6"/>
  <c r="X59" i="6"/>
  <c r="Z59" i="6" s="1"/>
  <c r="V59" i="6"/>
  <c r="Y64" i="6"/>
  <c r="AA64" i="6" s="1"/>
  <c r="W64" i="6"/>
  <c r="Y52" i="6"/>
  <c r="AA52" i="6" s="1"/>
  <c r="W52" i="6"/>
  <c r="V41" i="6"/>
  <c r="X41" i="6"/>
  <c r="Z41" i="6" s="1"/>
  <c r="X66" i="6"/>
  <c r="Z66" i="6" s="1"/>
  <c r="V66" i="6"/>
  <c r="W42" i="7"/>
  <c r="Y42" i="7"/>
  <c r="X22" i="6"/>
  <c r="Z22" i="6" s="1"/>
  <c r="V22" i="6"/>
  <c r="V20" i="6"/>
  <c r="X20" i="6"/>
  <c r="Z20" i="6" s="1"/>
  <c r="Y26" i="6"/>
  <c r="W26" i="6"/>
  <c r="W11" i="7"/>
  <c r="U10" i="7"/>
  <c r="Y11" i="7"/>
  <c r="AA11" i="7" s="1"/>
  <c r="S9" i="6"/>
  <c r="V18" i="6"/>
  <c r="V69" i="6" s="1"/>
  <c r="X18" i="6"/>
  <c r="Z18" i="6" s="1"/>
  <c r="W21" i="6"/>
  <c r="Y42" i="6"/>
  <c r="W42" i="6"/>
  <c r="Y51" i="6"/>
  <c r="AA51" i="6" s="1"/>
  <c r="U50" i="6"/>
  <c r="W51" i="6"/>
  <c r="X54" i="6"/>
  <c r="Z54" i="6" s="1"/>
  <c r="V54" i="6"/>
  <c r="X56" i="6"/>
  <c r="Z56" i="6" s="1"/>
  <c r="V56" i="6"/>
  <c r="X58" i="6"/>
  <c r="Z58" i="6" s="1"/>
  <c r="V58" i="6"/>
  <c r="X60" i="6"/>
  <c r="V60" i="6"/>
  <c r="Y63" i="6"/>
  <c r="AA63" i="6" s="1"/>
  <c r="AA62" i="6" s="1"/>
  <c r="U62" i="6"/>
  <c r="W63" i="6"/>
  <c r="Y44" i="7"/>
  <c r="AA44" i="7" s="1"/>
  <c r="W44" i="7"/>
  <c r="Y13" i="7"/>
  <c r="AA13" i="7" s="1"/>
  <c r="Y14" i="7"/>
  <c r="AA14" i="7" s="1"/>
  <c r="Y15" i="7"/>
  <c r="AA15" i="7" s="1"/>
  <c r="Y16" i="7"/>
  <c r="AA16" i="7" s="1"/>
  <c r="X19" i="7"/>
  <c r="Z19" i="7" s="1"/>
  <c r="W23" i="7"/>
  <c r="W29" i="7"/>
  <c r="X39" i="7"/>
  <c r="Z39" i="7" s="1"/>
  <c r="V44" i="7"/>
  <c r="V46" i="7"/>
  <c r="V48" i="7"/>
  <c r="X52" i="7"/>
  <c r="Z52" i="7" s="1"/>
  <c r="V52" i="7"/>
  <c r="W19" i="8"/>
  <c r="X59" i="8"/>
  <c r="Z59" i="8" s="1"/>
  <c r="X66" i="8"/>
  <c r="Z66" i="8" s="1"/>
  <c r="U62" i="7"/>
  <c r="Y63" i="7"/>
  <c r="AA63" i="7" s="1"/>
  <c r="AA62" i="7" s="1"/>
  <c r="U38" i="6"/>
  <c r="W18" i="7"/>
  <c r="V31" i="7"/>
  <c r="V69" i="7" s="1"/>
  <c r="W41" i="7"/>
  <c r="V58" i="7"/>
  <c r="W34" i="8"/>
  <c r="Y46" i="7"/>
  <c r="AA46" i="7" s="1"/>
  <c r="W46" i="7"/>
  <c r="Y48" i="7"/>
  <c r="AA48" i="7" s="1"/>
  <c r="W48" i="7"/>
  <c r="X61" i="7"/>
  <c r="Z61" i="7" s="1"/>
  <c r="U17" i="7"/>
  <c r="U26" i="7"/>
  <c r="X64" i="7"/>
  <c r="Z64" i="7" s="1"/>
  <c r="V64" i="7"/>
  <c r="X18" i="8"/>
  <c r="Z18" i="8" s="1"/>
  <c r="V18" i="8"/>
  <c r="V69" i="8" s="1"/>
  <c r="X20" i="8"/>
  <c r="Z20" i="8" s="1"/>
  <c r="V20" i="8"/>
  <c r="Y47" i="8"/>
  <c r="AA47" i="8" s="1"/>
  <c r="W22" i="7"/>
  <c r="U21" i="7"/>
  <c r="U38" i="7"/>
  <c r="Y43" i="7"/>
  <c r="AA43" i="7" s="1"/>
  <c r="AA42" i="7" s="1"/>
  <c r="W43" i="7"/>
  <c r="Y45" i="7"/>
  <c r="AA45" i="7" s="1"/>
  <c r="W45" i="7"/>
  <c r="Y47" i="7"/>
  <c r="AA47" i="7" s="1"/>
  <c r="W47" i="7"/>
  <c r="Y49" i="7"/>
  <c r="AA49" i="7" s="1"/>
  <c r="W49" i="7"/>
  <c r="U17" i="8"/>
  <c r="Y18" i="8"/>
  <c r="AA18" i="8" s="1"/>
  <c r="AA17" i="8" s="1"/>
  <c r="Q9" i="8"/>
  <c r="W18" i="8"/>
  <c r="W20" i="8"/>
  <c r="Y49" i="8"/>
  <c r="AA49" i="8" s="1"/>
  <c r="W65" i="8"/>
  <c r="X51" i="7"/>
  <c r="Z51" i="7" s="1"/>
  <c r="V51" i="7"/>
  <c r="U10" i="6"/>
  <c r="W24" i="6"/>
  <c r="W35" i="6"/>
  <c r="Y22" i="7"/>
  <c r="AA22" i="7" s="1"/>
  <c r="AA21" i="7" s="1"/>
  <c r="W30" i="7"/>
  <c r="W33" i="7"/>
  <c r="Y33" i="7"/>
  <c r="AA33" i="7" s="1"/>
  <c r="AA32" i="7" s="1"/>
  <c r="U32" i="7"/>
  <c r="AA38" i="7"/>
  <c r="U50" i="7"/>
  <c r="Y51" i="7"/>
  <c r="AA51" i="7" s="1"/>
  <c r="AA50" i="7" s="1"/>
  <c r="V54" i="7"/>
  <c r="Y61" i="7"/>
  <c r="AA61" i="7" s="1"/>
  <c r="W61" i="7"/>
  <c r="AA10" i="8"/>
  <c r="W23" i="8"/>
  <c r="V27" i="8"/>
  <c r="W35" i="8"/>
  <c r="U42" i="8"/>
  <c r="W43" i="8"/>
  <c r="Y46" i="8"/>
  <c r="AA46" i="8" s="1"/>
  <c r="AA42" i="8" s="1"/>
  <c r="X60" i="8"/>
  <c r="U62" i="8"/>
  <c r="W63" i="8"/>
  <c r="X67" i="8"/>
  <c r="Z67" i="8" s="1"/>
  <c r="W27" i="7"/>
  <c r="V33" i="7"/>
  <c r="V59" i="7"/>
  <c r="X63" i="7"/>
  <c r="Z63" i="7" s="1"/>
  <c r="V63" i="7"/>
  <c r="X19" i="8"/>
  <c r="Z19" i="8" s="1"/>
  <c r="V19" i="8"/>
  <c r="Y10" i="8"/>
  <c r="Y35" i="8"/>
  <c r="AA35" i="8" s="1"/>
  <c r="AA34" i="8" s="1"/>
  <c r="Y48" i="8"/>
  <c r="AA48" i="8" s="1"/>
  <c r="W53" i="8"/>
  <c r="U53" i="7"/>
  <c r="U65" i="7"/>
  <c r="U26" i="8"/>
  <c r="U38" i="8"/>
  <c r="Y54" i="7"/>
  <c r="AA54" i="7" s="1"/>
  <c r="AA53" i="7" s="1"/>
  <c r="Y55" i="7"/>
  <c r="AA55" i="7" s="1"/>
  <c r="Y56" i="7"/>
  <c r="AA56" i="7" s="1"/>
  <c r="Y57" i="7"/>
  <c r="AA57" i="7" s="1"/>
  <c r="Y58" i="7"/>
  <c r="AA58" i="7" s="1"/>
  <c r="Y59" i="7"/>
  <c r="AA59" i="7" s="1"/>
  <c r="Y60" i="7"/>
  <c r="Y66" i="7"/>
  <c r="AA66" i="7" s="1"/>
  <c r="AA65" i="7" s="1"/>
  <c r="Y67" i="7"/>
  <c r="AA67" i="7" s="1"/>
  <c r="Y27" i="8"/>
  <c r="AA27" i="8" s="1"/>
  <c r="Y28" i="8"/>
  <c r="AA28" i="8" s="1"/>
  <c r="Y29" i="8"/>
  <c r="AA29" i="8" s="1"/>
  <c r="Y30" i="8"/>
  <c r="AA30" i="8" s="1"/>
  <c r="Y31" i="8"/>
  <c r="AA31" i="8" s="1"/>
  <c r="Y39" i="8"/>
  <c r="AA39" i="8" s="1"/>
  <c r="AA38" i="8" s="1"/>
  <c r="Y40" i="8"/>
  <c r="AA40" i="8" s="1"/>
  <c r="Y41" i="8"/>
  <c r="AA41" i="8" s="1"/>
  <c r="X43" i="8"/>
  <c r="Z43" i="8" s="1"/>
  <c r="X44" i="8"/>
  <c r="Z44" i="8" s="1"/>
  <c r="X45" i="8"/>
  <c r="Z45" i="8" s="1"/>
  <c r="X46" i="8"/>
  <c r="Z46" i="8" s="1"/>
  <c r="X47" i="8"/>
  <c r="Z47" i="8" s="1"/>
  <c r="X48" i="8"/>
  <c r="Z48" i="8" s="1"/>
  <c r="X49" i="8"/>
  <c r="Z49" i="8" s="1"/>
  <c r="Y61" i="8"/>
  <c r="AA61" i="8" s="1"/>
  <c r="AA53" i="8" s="1"/>
  <c r="X63" i="8"/>
  <c r="Z63" i="8" s="1"/>
  <c r="X64" i="8"/>
  <c r="Z64" i="8" s="1"/>
  <c r="V71" i="6" l="1"/>
  <c r="V72" i="6" s="1"/>
  <c r="V70" i="6"/>
  <c r="V71" i="7"/>
  <c r="V72" i="7" s="1"/>
  <c r="V70" i="7"/>
  <c r="V71" i="8"/>
  <c r="V72" i="8" s="1"/>
  <c r="V70" i="8"/>
  <c r="W26" i="8"/>
  <c r="Y26" i="8"/>
  <c r="W38" i="7"/>
  <c r="Y38" i="7"/>
  <c r="Y62" i="7"/>
  <c r="W62" i="7"/>
  <c r="AA50" i="6"/>
  <c r="U9" i="7"/>
  <c r="Y10" i="7"/>
  <c r="W10" i="7"/>
  <c r="W50" i="6"/>
  <c r="Y50" i="6"/>
  <c r="W53" i="7"/>
  <c r="Y53" i="7"/>
  <c r="W21" i="7"/>
  <c r="Y21" i="7"/>
  <c r="Y62" i="8"/>
  <c r="W62" i="8"/>
  <c r="Y17" i="8"/>
  <c r="W17" i="8"/>
  <c r="U9" i="8"/>
  <c r="W26" i="7"/>
  <c r="Y26" i="7"/>
  <c r="Y42" i="8"/>
  <c r="W42" i="8"/>
  <c r="Y17" i="7"/>
  <c r="W17" i="7"/>
  <c r="AA10" i="7"/>
  <c r="W65" i="7"/>
  <c r="Y65" i="7"/>
  <c r="AA26" i="8"/>
  <c r="Y50" i="7"/>
  <c r="W50" i="7"/>
  <c r="W62" i="6"/>
  <c r="Y62" i="6"/>
  <c r="W10" i="6"/>
  <c r="Y10" i="6"/>
  <c r="U9" i="6"/>
  <c r="W38" i="8"/>
  <c r="Y38" i="8"/>
  <c r="W32" i="7"/>
  <c r="Y32" i="7"/>
  <c r="Y38" i="6"/>
  <c r="W38" i="6"/>
  <c r="U71" i="7" l="1"/>
  <c r="W9" i="7"/>
  <c r="Y9" i="7"/>
  <c r="AA9" i="7" s="1"/>
  <c r="Y9" i="6"/>
  <c r="AA9" i="6" s="1"/>
  <c r="W9" i="6"/>
  <c r="U71" i="6"/>
  <c r="Y9" i="8"/>
  <c r="AA9" i="8" s="1"/>
  <c r="U71" i="8"/>
  <c r="W9" i="8"/>
  <c r="W69" i="8" l="1"/>
  <c r="W70" i="8" s="1"/>
  <c r="W71" i="8"/>
  <c r="W72" i="8" s="1"/>
  <c r="W71" i="6"/>
  <c r="W72" i="6" s="1"/>
  <c r="W69" i="6"/>
  <c r="W70" i="6" s="1"/>
  <c r="W69" i="7"/>
  <c r="W70" i="7" s="1"/>
  <c r="W71" i="7"/>
  <c r="W72" i="7" s="1"/>
  <c r="D81" i="1" l="1"/>
  <c r="E9" i="1" l="1"/>
  <c r="D80" i="1" l="1"/>
  <c r="C80" i="1"/>
  <c r="J76" i="1"/>
  <c r="J72" i="1"/>
  <c r="J64" i="1"/>
  <c r="J60" i="1"/>
  <c r="J52" i="1"/>
  <c r="J47" i="1"/>
  <c r="J42" i="1"/>
  <c r="J37" i="1"/>
  <c r="J30" i="1"/>
  <c r="J25" i="1"/>
  <c r="J22" i="1"/>
  <c r="J17" i="1"/>
  <c r="I17" i="1"/>
  <c r="I22" i="1"/>
  <c r="I25" i="1"/>
  <c r="I29" i="1"/>
  <c r="I30" i="1"/>
  <c r="I37" i="1"/>
  <c r="I41" i="1"/>
  <c r="I42" i="1"/>
  <c r="I47" i="1"/>
  <c r="I52" i="1"/>
  <c r="I60" i="1"/>
  <c r="I64" i="1"/>
  <c r="I72" i="1"/>
  <c r="I76" i="1"/>
  <c r="J9" i="1"/>
  <c r="I9" i="1"/>
  <c r="C81" i="1"/>
  <c r="E27" i="1"/>
  <c r="F27" i="1"/>
  <c r="E28" i="1"/>
  <c r="F28" i="1"/>
  <c r="E30" i="1"/>
  <c r="F30" i="1"/>
  <c r="E31" i="1"/>
  <c r="F31" i="1"/>
  <c r="E32" i="1"/>
  <c r="F32" i="1"/>
  <c r="E33" i="1"/>
  <c r="F33" i="1"/>
  <c r="E34" i="1"/>
  <c r="F34" i="1"/>
  <c r="E35" i="1"/>
  <c r="F35" i="1"/>
  <c r="E37" i="1"/>
  <c r="F37" i="1"/>
  <c r="E38" i="1"/>
  <c r="E39" i="1"/>
  <c r="F39" i="1"/>
  <c r="E40" i="1"/>
  <c r="F40" i="1"/>
  <c r="E42" i="1"/>
  <c r="F42" i="1"/>
  <c r="E43" i="1"/>
  <c r="F43" i="1"/>
  <c r="E44" i="1"/>
  <c r="F44" i="1"/>
  <c r="E45" i="1"/>
  <c r="F45" i="1"/>
  <c r="E47" i="1"/>
  <c r="F47" i="1"/>
  <c r="E48" i="1"/>
  <c r="F48" i="1"/>
  <c r="E49" i="1"/>
  <c r="F49" i="1"/>
  <c r="E50" i="1"/>
  <c r="F50" i="1"/>
  <c r="E52" i="1"/>
  <c r="F52" i="1"/>
  <c r="E53" i="1"/>
  <c r="F53" i="1"/>
  <c r="E54" i="1"/>
  <c r="F54" i="1"/>
  <c r="E55" i="1"/>
  <c r="F55" i="1"/>
  <c r="E56" i="1"/>
  <c r="F56" i="1"/>
  <c r="E57" i="1"/>
  <c r="F57" i="1"/>
  <c r="E58" i="1"/>
  <c r="F58" i="1"/>
  <c r="E60" i="1"/>
  <c r="F60" i="1"/>
  <c r="E61" i="1"/>
  <c r="F61" i="1"/>
  <c r="E62" i="1"/>
  <c r="F62" i="1"/>
  <c r="E64" i="1"/>
  <c r="F64" i="1"/>
  <c r="E65" i="1"/>
  <c r="F65" i="1"/>
  <c r="E66" i="1"/>
  <c r="F66" i="1"/>
  <c r="E67" i="1"/>
  <c r="F67" i="1"/>
  <c r="E68" i="1"/>
  <c r="F68" i="1"/>
  <c r="E69" i="1"/>
  <c r="F69" i="1"/>
  <c r="E70" i="1"/>
  <c r="F70" i="1"/>
  <c r="E72" i="1"/>
  <c r="F72" i="1"/>
  <c r="E73" i="1"/>
  <c r="F73" i="1"/>
  <c r="E74" i="1"/>
  <c r="F74" i="1"/>
  <c r="E76" i="1"/>
  <c r="F76" i="1"/>
  <c r="E77" i="1"/>
  <c r="F77" i="1"/>
  <c r="E78" i="1"/>
  <c r="F78" i="1"/>
  <c r="F26" i="1"/>
  <c r="E26" i="1"/>
  <c r="E25" i="1"/>
  <c r="F25" i="1"/>
  <c r="E23" i="1"/>
  <c r="F23" i="1"/>
  <c r="E22" i="1"/>
  <c r="F22" i="1"/>
  <c r="E20" i="1"/>
  <c r="F20" i="1"/>
  <c r="E19" i="1"/>
  <c r="F19" i="1"/>
  <c r="E18" i="1"/>
  <c r="F18" i="1"/>
  <c r="E17" i="1"/>
  <c r="F17" i="1"/>
  <c r="E15" i="1"/>
  <c r="F15" i="1"/>
  <c r="E14" i="1"/>
  <c r="F14" i="1"/>
  <c r="D82" i="1" l="1"/>
  <c r="E82" i="1" s="1"/>
  <c r="J80" i="1"/>
  <c r="I80" i="1"/>
  <c r="F80" i="1"/>
  <c r="F81" i="1"/>
  <c r="E80" i="1"/>
  <c r="E81" i="1"/>
  <c r="E13" i="1"/>
  <c r="F13" i="1"/>
  <c r="E10" i="1"/>
  <c r="F10" i="1"/>
  <c r="E11" i="1"/>
  <c r="F11" i="1"/>
  <c r="E12" i="1"/>
  <c r="F12" i="1"/>
  <c r="F9" i="1"/>
  <c r="F7" i="1"/>
  <c r="E7" i="1"/>
</calcChain>
</file>

<file path=xl/comments1.xml><?xml version="1.0" encoding="utf-8"?>
<comments xmlns="http://schemas.openxmlformats.org/spreadsheetml/2006/main">
  <authors>
    <author>KOMINFO</author>
  </authors>
  <commentList>
    <comment ref="O27" authorId="0" shapeId="0">
      <text>
        <r>
          <rPr>
            <b/>
            <sz val="9"/>
            <color indexed="81"/>
            <rFont val="Tahoma"/>
            <family val="2"/>
          </rPr>
          <t>KOMINFO:</t>
        </r>
        <r>
          <rPr>
            <sz val="9"/>
            <color indexed="81"/>
            <rFont val="Tahoma"/>
            <family val="2"/>
          </rPr>
          <t xml:space="preserve">
sebelumnya rp. 2,820,000 
seharusnya rp. 4,700,000
</t>
        </r>
      </text>
    </comment>
  </commentList>
</comments>
</file>

<file path=xl/sharedStrings.xml><?xml version="1.0" encoding="utf-8"?>
<sst xmlns="http://schemas.openxmlformats.org/spreadsheetml/2006/main" count="1317" uniqueCount="373">
  <si>
    <t>Uraian</t>
  </si>
  <si>
    <t>Jumlah SPJ
(LS+UP/GU/TU)
s.d. Bulan ini</t>
  </si>
  <si>
    <t>Kode 
Rekening</t>
  </si>
  <si>
    <t>Jumlah 
Anggaran</t>
  </si>
  <si>
    <t>BELANJA LANGSUNG</t>
  </si>
  <si>
    <t>5.2.</t>
  </si>
  <si>
    <t>Sisa Pagu 
Anggaran</t>
  </si>
  <si>
    <t>2.16.2.16.2.201.2.01.</t>
  </si>
  <si>
    <t>Perencanaan, Penganggaran, dan Evaluasi Kinerja
Perangkat Daerah</t>
  </si>
  <si>
    <t>2.16.2.16.2.201.2.01.02.</t>
  </si>
  <si>
    <t>Koordinasi dan Penyusunan
Dokumen RKA-SKPD</t>
  </si>
  <si>
    <t>2.16.2.16.2.201.2.01.03.</t>
  </si>
  <si>
    <t>Koordinasi dan Penyusunan Dokumen 
Perubahan RKA-SKPD</t>
  </si>
  <si>
    <t>2.16.2.16.2.201.2.01.04.</t>
  </si>
  <si>
    <t>Koordinasi dan Penyusunan
DPA-SKPD</t>
  </si>
  <si>
    <t>2.16.2.16.2.201.2.01.05.</t>
  </si>
  <si>
    <t>Koordinasi dan Penyusunan
Perubahan DPA-SKPD</t>
  </si>
  <si>
    <t>2.16.2.16.2.201.2.01.06.</t>
  </si>
  <si>
    <t>Koordinasi dan Penyusunan Laporan 
Capaian Kinerja dan Ikhtisar Realisasi 
Kinerja SKPD</t>
  </si>
  <si>
    <t>2.16.2.16.2.201.2.01.07.</t>
  </si>
  <si>
    <t>Evaluasi Kinerja Perangkat Daerah</t>
  </si>
  <si>
    <t>2.16.2.16.2.201.2.02.</t>
  </si>
  <si>
    <t>Administrasi Keuangan Perangkat 
Daerah</t>
  </si>
  <si>
    <t>2.16.2.16.2.201.2.02.01.</t>
  </si>
  <si>
    <t>Penyediaan Gaji dan Tunjangan ASN</t>
  </si>
  <si>
    <t>2.16.2.16.2.201.2.02.05.</t>
  </si>
  <si>
    <t>Koordinasi dan Penyusunan Laporan 
Keuangan Akhir Tahun SKPD</t>
  </si>
  <si>
    <t>2.16.2.16.2.201.2.02.08.</t>
  </si>
  <si>
    <t>Penyusunan Pelaporan dan Analisis
Prognosis Realisasi Anggaran</t>
  </si>
  <si>
    <t>2.16.2.16.2.201.2.03.</t>
  </si>
  <si>
    <t>Administrasi Barang Milik Daerah 
pada Perangkat Daerah</t>
  </si>
  <si>
    <t>2.16.2.16.2.201.2.03.06.</t>
  </si>
  <si>
    <t>Penatausahaan Barang Milik
Daerah pada SKPD</t>
  </si>
  <si>
    <t>2.16.2.16.2.201.2.05.</t>
  </si>
  <si>
    <t>Administrasi Kepegawaian Perangkat  Daerah</t>
  </si>
  <si>
    <t>2.16.2.16.2.201.2.05.02.</t>
  </si>
  <si>
    <t>Pengadaan Pakaian Dinas 
Beserta Atribut Kelengkapannya</t>
  </si>
  <si>
    <t>2.16.2.16.2.201.2.05.09.</t>
  </si>
  <si>
    <t>Pendidikan dan Pelatihan Pegawai 
Berdasarkan Tugas dan Fungsi</t>
  </si>
  <si>
    <t>2.16.2.16.2.201.2.05.11.</t>
  </si>
  <si>
    <t>Bimbingan Teknis Implementasi 
Peraturan Perundang-Undangan</t>
  </si>
  <si>
    <t>2.16.2.16.2.201.2.06.</t>
  </si>
  <si>
    <t>Administrasi Umum Perangkat Daerah</t>
  </si>
  <si>
    <t>2.16.2.16.2.201.2.06.01.</t>
  </si>
  <si>
    <t>Penyediaan Komponen Instalasi 
Listrik/Penerangan Bangunan Kantor</t>
  </si>
  <si>
    <t>2.16.2.16.2.201.2.06.02.</t>
  </si>
  <si>
    <t>Penyediaan Peralatan dan
Perlengkapan Kantor</t>
  </si>
  <si>
    <t>2.16.2.16.2.201.2.06.04.</t>
  </si>
  <si>
    <t>Penyediaan Bahan Logistik Kantor</t>
  </si>
  <si>
    <t>2.16.2.16.2.201.2.06.05.</t>
  </si>
  <si>
    <t>Penyediaan Barang Cetakan dan
 Penggandaan</t>
  </si>
  <si>
    <t>2.16.2.16.2.201.2.06.09.</t>
  </si>
  <si>
    <t>Penyelenggaraan Rapat Koordinasi 
dan Konsultasi SKPD</t>
  </si>
  <si>
    <t>2.16.2.16.2.201.2.07.</t>
  </si>
  <si>
    <t>Pengadaan Barang Milik Daerah
 Penunjang Urusan Pemerintah Daerah</t>
  </si>
  <si>
    <t>2.16.2.16.2.201.2.07.02.</t>
  </si>
  <si>
    <t>Pengadaan Kendaraan Dinas
Operasional atau Lapangan</t>
  </si>
  <si>
    <t>2.16.2.16.2.201.2.07.06.</t>
  </si>
  <si>
    <t>Pengadaan Peralatan dan Mesin Lainnya</t>
  </si>
  <si>
    <t>2.16.2.16.2.201.2.07.11.</t>
  </si>
  <si>
    <t>Pengadaan Sarana dan Prasarana Pendukung Gedung Kantor atau
Bangunan Lainnya</t>
  </si>
  <si>
    <t>2.16.2.16.2.201.2.08.</t>
  </si>
  <si>
    <t>Penyediaan Jasa Penunjang Urusan Pemerintahan Daerah</t>
  </si>
  <si>
    <t>2.16.2.16.2.201.2.08.01.</t>
  </si>
  <si>
    <t>Penyediaan Jasa Surat Menyurat</t>
  </si>
  <si>
    <t>2.16.2.16.2.201.2.08.02.</t>
  </si>
  <si>
    <t>Penyediaan Jasa Komunikasi,
Sumber Daya Air dan Listrik</t>
  </si>
  <si>
    <t>2.16.2.16.2.201.2.08.04.</t>
  </si>
  <si>
    <t>Penyediaan Jasa Pelayanan Umum Kantor</t>
  </si>
  <si>
    <t>2.16.2.16.2.201.2.09.</t>
  </si>
  <si>
    <t>Pemeliharaan Barang Milik Daerah 
Penunjang Urusan Pemerintahan Daerah</t>
  </si>
  <si>
    <t>2.16.2.16.2.201.2.09.02.</t>
  </si>
  <si>
    <t>Penyediaan Jasa Pemeliharaan, Biaya Pemeliharaan, Pajak, dan Perizinan 
Kendaraan Dinas Operasional atau Lapangan</t>
  </si>
  <si>
    <t>2.16.2.16.2.201.2.09.06.</t>
  </si>
  <si>
    <t>Pemeliharaan Peralatan dan Mesin Lainnya</t>
  </si>
  <si>
    <t>2.16.2.16.2.201.2.09.11.</t>
  </si>
  <si>
    <t>Pemeliharaan/Rehabilitasi Sarana dan Prasarana Pendukung Gedung Kantor
atau Bangunan Lainnya</t>
  </si>
  <si>
    <t>2.16.2.16.2.202.2.01.</t>
  </si>
  <si>
    <t>Pengelolaan Informasi dan Komunikasi Publik Pemerintah Daerah
Kabupaten/Kota</t>
  </si>
  <si>
    <t>2.16.2.16.2.202.2.01.04.</t>
  </si>
  <si>
    <t>Pengelolaan Konten dan Perencanaan 
Media Komunikasi Publik</t>
  </si>
  <si>
    <t>2.16.2.16.2.202.2.01.05.</t>
  </si>
  <si>
    <t>Pengelolaan Media Komunikasi Publik</t>
  </si>
  <si>
    <t>2.16.2.16.2.202.2.01.06.</t>
  </si>
  <si>
    <t>Pelayanan Informasi Publik</t>
  </si>
  <si>
    <t>2.16.2.16.2.202.2.01.07.</t>
  </si>
  <si>
    <t>Layanan Hubungan Media</t>
  </si>
  <si>
    <t>2.16.2.16.2.202.2.01.08.</t>
  </si>
  <si>
    <t>Kemitraan dengan Pemangku
Kepentingan</t>
  </si>
  <si>
    <t>2.16.2.16.2.202.2.01.12.</t>
  </si>
  <si>
    <t>Penyelenggaraan Hubungan Masyarakat, Media dan Kemitraan Komunitas</t>
  </si>
  <si>
    <t>2.16.2.16.2.203.2.01.</t>
  </si>
  <si>
    <t>Pengelolaan Nama Domain yang telah Ditetapkan oleh Pemerintah Pusat dan Sub Domain di Lingkup Pemerintah Daerah Kabupaten/Kota</t>
  </si>
  <si>
    <t>2.16.2.16.2.203.2.01.02.</t>
  </si>
  <si>
    <t>Penatalaksanaan dan Pengawasan Nama Domain dan Sub Domain dalam Penyelenggaraan Pemerintahan Daerah Kabupaten/Kota</t>
  </si>
  <si>
    <t>2.16.2.16.2.203.2.01.03.</t>
  </si>
  <si>
    <t>Penyelenggaraan Sistem Jaringan Intra Pemerintah Daerah</t>
  </si>
  <si>
    <t>%
Realisasi</t>
  </si>
  <si>
    <t>2.16.2.16.2.203.2.02.</t>
  </si>
  <si>
    <t>Pengelolaan e-government Di Lingkup Pemerintah Daerah
Kabupaten/Kota</t>
  </si>
  <si>
    <t>2.16.2.16.2.203.2.02.01.</t>
  </si>
  <si>
    <t>Penatalaksanaan dan Pengawasan e-government dalam Penyelenggaraan Pemerintahan Daerah Kabupaten/Kota</t>
  </si>
  <si>
    <t>2.16.2.16.2.203.2.02.03.</t>
  </si>
  <si>
    <t>Pengelolaan Pusat Data Pemerintahan Daerah</t>
  </si>
  <si>
    <t>2.16.2.16.2.203.2.02.04.</t>
  </si>
  <si>
    <t>Penyelenggaraan Sistem Komunikasi Intra Pemerintah Daerah</t>
  </si>
  <si>
    <t>2.16.2.16.2.203.2.02.06.</t>
  </si>
  <si>
    <t>Koordinasi dan Sinkronisasi Data dan Informasi Elektronik</t>
  </si>
  <si>
    <t>2.16.2.16.2.203.2.02.07.</t>
  </si>
  <si>
    <t>Pengembangan Aplikasi dan Proses Bisnis Pemerintahan Berbasis Elektronik</t>
  </si>
  <si>
    <t>2.16.2.16.2.203.2.02.10.</t>
  </si>
  <si>
    <t>Pengembangan dan Pengelolaan Sumber Daya Teknologi Informasi dan Komunikasi Pemerintah Daerah</t>
  </si>
  <si>
    <t>2.20.2.16.2.202.2.01.</t>
  </si>
  <si>
    <t>Penyelenggaraan Statistik Sektoral di Lingkup Daerah Kabupaten/Kota</t>
  </si>
  <si>
    <t>2.20.2.16.2.202.2.01.01.</t>
  </si>
  <si>
    <t>Koordinasi dan Sinkronisasi Pengumpulan, Pengolahan, Analisis dan Diseminasi Data Statistik Sektoral</t>
  </si>
  <si>
    <t>2.20.2.16.2.202.2.01.03.</t>
  </si>
  <si>
    <t>Membangun Metadata Statistik
Sektoral</t>
  </si>
  <si>
    <t>2.21.2.16.2.202.2.01.</t>
  </si>
  <si>
    <t>Penyelenggaraan Persandian untuk Pengamanan Informasi Pemerintah Daerah Kabupaten/Kota</t>
  </si>
  <si>
    <t>2.21.2.16.2.202.2.01.03.</t>
  </si>
  <si>
    <t>Pelaksanaan Keamanan Informasi Pemerintahan Daerah Kabupaten/Kota Berbasis Elektronik dan Non Elektronik</t>
  </si>
  <si>
    <t>2.21.2.16.2.202.2.01.04.</t>
  </si>
  <si>
    <t>Penyediaan Layanan Keamanan Informasi Pemerintah Daerah
Kabupaten/Kota</t>
  </si>
  <si>
    <t>TOTAL</t>
  </si>
  <si>
    <t>EVALUASI KINERJA ANGGARAN T. A 2021</t>
  </si>
  <si>
    <t>DINAS KOMUNIKASI DAN INFORMATIKA</t>
  </si>
  <si>
    <t>DATA PER 31 Desember 2021</t>
  </si>
  <si>
    <t>Evaluasi Hasil RKPD Tahun 2022</t>
  </si>
  <si>
    <t>TRIWULAN II</t>
  </si>
  <si>
    <t>KOTA DUMAI</t>
  </si>
  <si>
    <t>No</t>
  </si>
  <si>
    <t>Sasaran RKPD</t>
  </si>
  <si>
    <t>Program/Kegiatan</t>
  </si>
  <si>
    <t>Indikator Kinerja Program (outcome)/ Kegiatan (output)</t>
  </si>
  <si>
    <t>Target Akhir Periode RPJMD)</t>
  </si>
  <si>
    <t xml:space="preserve">Realisasi Capaian Kinerja RPJMD sampai dengan RKPD Tahun 2021 </t>
  </si>
  <si>
    <t>Target kinerja dan anggaran berjalan tahun 2022 yang dievaluasi</t>
  </si>
  <si>
    <t>Realisasi Kinerja Sampai Dengan Triwulan</t>
  </si>
  <si>
    <t>Realisasi Capaian Kinerja dan Anggaran RKPD yang dievaluasi (2022)</t>
  </si>
  <si>
    <t>Tingkat Capaian Kinerja dan Realisasi Anggaran RKPD Tahun 2022 (%)</t>
  </si>
  <si>
    <t>Realisasi Kinerja dan Anggaran RPJMD s/d Tahun 2022(Akhir Tahun Pelaksanaan RKPD Tahun 2022)</t>
  </si>
  <si>
    <t>Tingkat Capaian Kinerja dan Realisasi Anggaran RPJMD  s/d tahun 2022 (%)</t>
  </si>
  <si>
    <t>SKPD Penanggungjawab</t>
  </si>
  <si>
    <t>Keterangan</t>
  </si>
  <si>
    <t>I</t>
  </si>
  <si>
    <t>II</t>
  </si>
  <si>
    <t>III</t>
  </si>
  <si>
    <t>IV</t>
  </si>
  <si>
    <t>13=12/7x100%</t>
  </si>
  <si>
    <t>14 = 6 + 12</t>
  </si>
  <si>
    <t>15=14/5 x100%</t>
  </si>
  <si>
    <t>K</t>
  </si>
  <si>
    <t>Rp</t>
  </si>
  <si>
    <t>PROGRAM PENUNJANG URUSAN PEMERINTAHAN DAERAH KABUPATEN/KOTA</t>
  </si>
  <si>
    <t>DINAS KOMUNIKASI INFORMATIKA STATISTIK DAN PERSANDIAN</t>
  </si>
  <si>
    <t>Perencanaan, Penganggaran, dan Evaluasi Kinerja Perangkat Daerah</t>
  </si>
  <si>
    <t xml:space="preserve">Jumlah Dokumen Perencanaan, Penganggaran, dan Evaluasi </t>
  </si>
  <si>
    <t xml:space="preserve">Koordinasi dan Penyusunan Dokumen RKA-SKPD </t>
  </si>
  <si>
    <t>Jumlah Dokumen RKA-SKPD</t>
  </si>
  <si>
    <t>Dokumen</t>
  </si>
  <si>
    <t>0</t>
  </si>
  <si>
    <t>-</t>
  </si>
  <si>
    <t>Koordinasi dan Penyusunan Dokumen Perubahan RKA-SKPD</t>
  </si>
  <si>
    <t>Jumlah Dokumen Perubahan RKA-SKPD</t>
  </si>
  <si>
    <t>Koordinasi dan Penyusunan Dokumen DPA-SKPD</t>
  </si>
  <si>
    <t>Jumlah Dokumen DPA-SKPD</t>
  </si>
  <si>
    <t>Koordinasi dan Penyusunan Dokumen Perubahan DPA-SKPD</t>
  </si>
  <si>
    <t>Jumlah Dokumen Perubahan DPA-SKPD</t>
  </si>
  <si>
    <t xml:space="preserve">Koordinasi dan Penyusunan Laporan Capaian Kinerja dan Ikhtisar Realisasi Kinerja SKPD </t>
  </si>
  <si>
    <t>Jumlah dokumen laporan capaian kinerja dan ikhtisar realisasi kinerja OPD (LKPJ dan LKJIP)</t>
  </si>
  <si>
    <t>Jumlah dokumen PK, RKT dan RA</t>
  </si>
  <si>
    <t>Administrasi Keuangan Perangkat Daerah</t>
  </si>
  <si>
    <t>Tersedianya Gaji dan Tunjangan ASN (14 Bulan)</t>
  </si>
  <si>
    <t>Bulan</t>
  </si>
  <si>
    <t>Koordinasi dan Penyusunan Laporan Keuangan Akhir Tahun SKPD</t>
  </si>
  <si>
    <t>Jumlah dokumen Laporan Keuangan Akhir Tahun SKPD*) (dokumen)</t>
  </si>
  <si>
    <t>Penyusunan Pelaporan dan Analisis Prognosis Realisasi Anggaran</t>
  </si>
  <si>
    <t>Jumlah dokumen laporan dan Analisis Prognosis Realisasi Anggaran*) (dokumen)</t>
  </si>
  <si>
    <t>Administrasi Barang Milik Daerah pada Perangkat Daerah</t>
  </si>
  <si>
    <t>Penatausahaan Barang Milik Daerah pada SKPD</t>
  </si>
  <si>
    <t>Jumlah Dokumen laporan inventarisasi Aset</t>
  </si>
  <si>
    <t>Administrasi Kepegawaian Perangkat Daerah</t>
  </si>
  <si>
    <t>Pendidikan dan Pelatihan Pegawai Berdasarkan Tugas dan Fungsi</t>
  </si>
  <si>
    <t>Jumlah pegawai yang mengikuti pendidikan dan pelatihan formal dan non formal (LBH DR 5 HR)</t>
  </si>
  <si>
    <t>Orang</t>
  </si>
  <si>
    <t>Bimbingan Teknis Implementasi Peraturan Perundang-Undangan</t>
  </si>
  <si>
    <t>Jumlah pegawai yang mengikuti Bimtek implementasi peraturan perundang-undangan (5HR)</t>
  </si>
  <si>
    <t>Penyediaan Komponen Instalasi Listrik/Penerangan Bangunan Kantor</t>
  </si>
  <si>
    <t>Jumlah penyediaan kebutuhan komponen listrik kantor</t>
  </si>
  <si>
    <t>Penyediaan Peralatan dan Perlengkapan Kantor</t>
  </si>
  <si>
    <t>Jumlah penyediaan kebutuhan alat tulis kantor</t>
  </si>
  <si>
    <t>Jumlah penyediaan kebutuhan makanan dan minuman tamu, rapat serta kegiatan</t>
  </si>
  <si>
    <t>Penyediaan Barang Cetakan dan Penggandaan</t>
  </si>
  <si>
    <t>Jumlah penyediaan kebutuhan barang cetakan dan penggandaan</t>
  </si>
  <si>
    <t>Penyelenggaraan Rapat Koordinasi dan Konsultasi SKPD</t>
  </si>
  <si>
    <t>Jumlah kebutuhan koordinasi dan konsultasi ke luar daerah</t>
  </si>
  <si>
    <t>Pengadaan Barang Milik Daerah Penunjang Urusan Pemerintah Daerah</t>
  </si>
  <si>
    <t>Jumlah pengadaan peralatan gedung kantor</t>
  </si>
  <si>
    <t>Unit</t>
  </si>
  <si>
    <t>Jumlah kebutuhan jasa Administrasi Perkantoran, Kebersihan,Keamanan, &amp; Supir (8 bulan)</t>
  </si>
  <si>
    <t>Penyediaan Jasa Komunikasi, Sumber Daya Air dan Listrik</t>
  </si>
  <si>
    <t>Jumlah pemakaian jasa komunikasi, sumber daya air dan listrik (12 Bulan)</t>
  </si>
  <si>
    <t>Jumlah kebutuhan jasa surat menyurat (12 bulan)</t>
  </si>
  <si>
    <t>Pemeliharaan Barang Milik Daerah Penunjang Urusan Pemerintahan Daerah</t>
  </si>
  <si>
    <t>Penyediaan Jasa Pemeliharaan, Biaya Pemeliharaan, Pajak dan Perizinan Kendaraan Dinas Operasional atau Lapangan</t>
  </si>
  <si>
    <t>Jumlah Kendaraan Dinas Operasional atau Lapangan terpelihara*) (unit)</t>
  </si>
  <si>
    <t>Jumlah Peralatan dan Mesin Lainnya Gedung kantor yang dipelihara (12 bulan)</t>
  </si>
  <si>
    <t>Pemeliharaan/Rehabilitasi Sarana dan Prasarana Pendukung Gedung Kantor atau Bangunan Lainnya</t>
  </si>
  <si>
    <t>Jumlah sarana dan prasarana pendukung gedung kantor yang dipelihara/direhab secara rutin/berkala</t>
  </si>
  <si>
    <t>Gedung</t>
  </si>
  <si>
    <t>Pengelolaan Informasi dan Komunikasi Publik Pemerintah daerah Kab/Kota</t>
  </si>
  <si>
    <t xml:space="preserve">Pengelolaan konten dan perencanaan media komunikasi publik </t>
  </si>
  <si>
    <t>Jumlah informasi media publik</t>
  </si>
  <si>
    <t>Media Publik</t>
  </si>
  <si>
    <t xml:space="preserve">Jumlah informasi online dan majalah gerak </t>
  </si>
  <si>
    <t>Media online/majalah</t>
  </si>
  <si>
    <t>Jumlah layanan Informasi Daerah yang dikelola</t>
  </si>
  <si>
    <t>80%</t>
  </si>
  <si>
    <t>Persen</t>
  </si>
  <si>
    <t>70%</t>
  </si>
  <si>
    <t>10%</t>
  </si>
  <si>
    <t xml:space="preserve">Layanan Hubungan Media </t>
  </si>
  <si>
    <t>Jumlah jenis publikasi informasi penyelenggaraan pemerintahan daerah</t>
  </si>
  <si>
    <t>Publikasi Media</t>
  </si>
  <si>
    <t>Kemitraan dengan pemangku kepentingan</t>
  </si>
  <si>
    <t xml:space="preserve">Jumlah kelompok informasi masyarakat (KIM) yang dibina </t>
  </si>
  <si>
    <t>Kelompok</t>
  </si>
  <si>
    <t>Penyelenggaraan Hubungan Masyarakat, Media dan Kemitraan komunitas</t>
  </si>
  <si>
    <t>Jumlah Event besar dan pertemuan</t>
  </si>
  <si>
    <t>Event/pertemuan</t>
  </si>
  <si>
    <t xml:space="preserve">Penyediaan/pengadaan sarana dan prasarana pendukung informasi </t>
  </si>
  <si>
    <t>Jumlah sarana dan prasaranan pendukung informasi dan komunitas publik</t>
  </si>
  <si>
    <t>Pengelolaan Nama Domain yang telah ditetapkan oleh pemerintah pusat &amp; Sub domain di Lingkup Pemerintah Daerah Kab/Kota</t>
  </si>
  <si>
    <t>Penatalaksanaan dan pengawasan nama domain dan sub domain dalam penyelenggaraan pemeerintahan daerah kab/kota</t>
  </si>
  <si>
    <t>Tersedia website pemko dumai yang dikelola</t>
  </si>
  <si>
    <t>Website</t>
  </si>
  <si>
    <t xml:space="preserve">Penyelenggaraan sistem jaringan intra pemerintah daerah </t>
  </si>
  <si>
    <t>Jumlah Akses jaringan internet yang disediakan pemerintah daerah ( 90 akses internet)</t>
  </si>
  <si>
    <t>Akses Internet</t>
  </si>
  <si>
    <t>Pengelolaan E-Government di lingkup pemeerintah daerah kab/kota</t>
  </si>
  <si>
    <t xml:space="preserve">Penatalaksanaan dan pengawasan e-government dalam penyelenggaraan pemerintahan daerah kab/kota </t>
  </si>
  <si>
    <t>Jumlah layanan SPBE ( layanan publik dan layanan administrasi pemerintahan) yang memanfaatkan sertfikat elektronik</t>
  </si>
  <si>
    <t>Aplikasi</t>
  </si>
  <si>
    <t xml:space="preserve">Sinkronisasi pengelolaarencana induk dan anggaran pemerintahan berbasis elektronik </t>
  </si>
  <si>
    <t xml:space="preserve">Tersedianya dokumen/perda/perkada/aturan/ tim koordinasi daerah terkait implementasi e-gverment </t>
  </si>
  <si>
    <t xml:space="preserve">Pengeloalaan pusat data pemerintahan daerah </t>
  </si>
  <si>
    <t xml:space="preserve">Jumlah pengembangan pusat data yang dikelola pemerintahan daerah </t>
  </si>
  <si>
    <t>Data Center</t>
  </si>
  <si>
    <t xml:space="preserve">Penyelenggaraan sistem komunikasi intra pemerintah daerah </t>
  </si>
  <si>
    <t xml:space="preserve">Jumlah sistem elektronik yang terdaftar sesuai ketentuan perundang-undangan </t>
  </si>
  <si>
    <t>Kegiatan</t>
  </si>
  <si>
    <t>Koordinasi dan sinkronisasi data informasi elektronik</t>
  </si>
  <si>
    <t>jumlah layanan data informasi elektronik yang dikelola</t>
  </si>
  <si>
    <t xml:space="preserve">Pengembangan Aplikasi dan proses bisnis pemereintahan berbasis elektronik </t>
  </si>
  <si>
    <t>kategori e-government kota dumai</t>
  </si>
  <si>
    <t>Indek</t>
  </si>
  <si>
    <t>Pengembangan dan Pengelolaan Ekosistem Kabupaten/Kota Cerdas dan Kota Cerdas</t>
  </si>
  <si>
    <t xml:space="preserve">Jumlah Dokumen  Program Inovasi yang diimplementasikan Sesuai dengan Masterplan Smartcity </t>
  </si>
  <si>
    <t xml:space="preserve">Pengembangan dan pengelolaan sumber daya teknologi informasi dan komunikasi pemerintah daerah </t>
  </si>
  <si>
    <t>Persentase ASN/pengelola TIK yang berkualitas/tersertifikasi/berkompetisi dibawah pengelolaan diskominfo</t>
  </si>
  <si>
    <t>Penyelenggaraan statistik sektoral dilingkup daerah kab/kota</t>
  </si>
  <si>
    <t>koordinasi dan sinkronisasi pengumpulan, pengolahan, analisis, dan diseminasi data statistik sektoral</t>
  </si>
  <si>
    <t xml:space="preserve">Jumlah data sektoral yang terkumpul </t>
  </si>
  <si>
    <t>Data</t>
  </si>
  <si>
    <t>Membangun metadata statistik sektoral</t>
  </si>
  <si>
    <t>jumlah buku statistik</t>
  </si>
  <si>
    <t>Buku</t>
  </si>
  <si>
    <t>Penyelenggaraan persandian untuk pengamanan informasi pemerintah daerah kab/kota</t>
  </si>
  <si>
    <t xml:space="preserve">Pelaksanaan keamanan informasi pemerintahan daerah kabupaten/kota berbasis elektronik dan non elektronik </t>
  </si>
  <si>
    <t xml:space="preserve">Jumnlah perangkat daerah yang telah menerapkan sistem manajemen keamanan informasi </t>
  </si>
  <si>
    <t>Opd</t>
  </si>
  <si>
    <t xml:space="preserve">Penyediaan layanan keamanan informasi pemerintah daerah kab/kota </t>
  </si>
  <si>
    <t>Persentase pengelolaan informasi persandian</t>
  </si>
  <si>
    <t>60%</t>
  </si>
  <si>
    <t>5%</t>
  </si>
  <si>
    <t>,</t>
  </si>
  <si>
    <t>Rata-Rata Capaian Kinerja (%)</t>
  </si>
  <si>
    <t>Predikat Kinerja</t>
  </si>
  <si>
    <t>TOTAL RATA-RATA CAPAIAN KINERJA DAN ANGGARAN DARI SELURUH PROGRAM</t>
  </si>
  <si>
    <t>PREDIKAT KINERJA DARI SELURUH PROGRAM</t>
  </si>
  <si>
    <t>No.</t>
  </si>
  <si>
    <t xml:space="preserve">INTERVAL NILAI REALISASI KINERJA </t>
  </si>
  <si>
    <t xml:space="preserve">KRITERIA PENILAIAN REALISASI KINERJA </t>
  </si>
  <si>
    <t>SPJ FUNGSIONAL SIPKD</t>
  </si>
  <si>
    <t>Dumai,   30       DESEMBER 2022</t>
  </si>
  <si>
    <r>
      <rPr>
        <sz val="10"/>
        <color rgb="FF000000"/>
        <rFont val="Arial Narrow"/>
        <family val="2"/>
      </rPr>
      <t>(1)</t>
    </r>
    <r>
      <rPr>
        <sz val="7"/>
        <color rgb="FF000000"/>
        <rFont val="Arial Narrow"/>
        <family val="2"/>
      </rPr>
      <t xml:space="preserve">             </t>
    </r>
    <r>
      <rPr>
        <sz val="10"/>
        <color rgb="FF000000"/>
        <rFont val="Arial Narrow"/>
        <family val="2"/>
      </rPr>
      <t> </t>
    </r>
  </si>
  <si>
    <r>
      <rPr>
        <sz val="10"/>
        <color rgb="FF000000"/>
        <rFont val="Arial Narrow"/>
        <family val="2"/>
      </rPr>
      <t xml:space="preserve">91% </t>
    </r>
    <r>
      <rPr>
        <sz val="12"/>
        <color rgb="FF000000"/>
        <rFont val="Arial Narrow"/>
        <family val="2"/>
      </rPr>
      <t>≤</t>
    </r>
    <r>
      <rPr>
        <sz val="10"/>
        <color rgb="FF000000"/>
        <rFont val="Arial Narrow"/>
        <family val="2"/>
      </rPr>
      <t xml:space="preserve"> 100%</t>
    </r>
  </si>
  <si>
    <t>Sangat tinggi</t>
  </si>
  <si>
    <t>KEPALA DINAS KOMUNIKASI INFORMATIKA STATISTIK DAN PERSANDIAN KOTA DUMAI,</t>
  </si>
  <si>
    <r>
      <rPr>
        <sz val="10"/>
        <color rgb="FF000000"/>
        <rFont val="Arial Narrow"/>
        <family val="2"/>
      </rPr>
      <t>(2)</t>
    </r>
    <r>
      <rPr>
        <sz val="7"/>
        <color rgb="FF000000"/>
        <rFont val="Arial Narrow"/>
        <family val="2"/>
      </rPr>
      <t xml:space="preserve">             </t>
    </r>
    <r>
      <rPr>
        <sz val="10"/>
        <color rgb="FF000000"/>
        <rFont val="Arial Narrow"/>
        <family val="2"/>
      </rPr>
      <t> </t>
    </r>
  </si>
  <si>
    <r>
      <rPr>
        <sz val="10"/>
        <color rgb="FF000000"/>
        <rFont val="Arial Narrow"/>
        <family val="2"/>
      </rPr>
      <t xml:space="preserve">76% </t>
    </r>
    <r>
      <rPr>
        <sz val="12"/>
        <color rgb="FF000000"/>
        <rFont val="Arial Narrow"/>
        <family val="2"/>
      </rPr>
      <t xml:space="preserve">≤ </t>
    </r>
    <r>
      <rPr>
        <sz val="10"/>
        <color rgb="FF000000"/>
        <rFont val="Arial Narrow"/>
        <family val="2"/>
      </rPr>
      <t xml:space="preserve">90% </t>
    </r>
  </si>
  <si>
    <t>Tinggi</t>
  </si>
  <si>
    <r>
      <rPr>
        <sz val="10"/>
        <color rgb="FF000000"/>
        <rFont val="Arial Narrow"/>
        <family val="2"/>
      </rPr>
      <t>(3)</t>
    </r>
    <r>
      <rPr>
        <sz val="7"/>
        <color rgb="FF000000"/>
        <rFont val="Arial Narrow"/>
        <family val="2"/>
      </rPr>
      <t xml:space="preserve">             </t>
    </r>
    <r>
      <rPr>
        <sz val="10"/>
        <color rgb="FF000000"/>
        <rFont val="Arial Narrow"/>
        <family val="2"/>
      </rPr>
      <t> </t>
    </r>
  </si>
  <si>
    <r>
      <rPr>
        <sz val="10"/>
        <color rgb="FF000000"/>
        <rFont val="Arial Narrow"/>
        <family val="2"/>
      </rPr>
      <t xml:space="preserve">66% </t>
    </r>
    <r>
      <rPr>
        <sz val="12"/>
        <color rgb="FF000000"/>
        <rFont val="Arial Narrow"/>
        <family val="2"/>
      </rPr>
      <t xml:space="preserve">≤ </t>
    </r>
    <r>
      <rPr>
        <sz val="10"/>
        <color rgb="FF000000"/>
        <rFont val="Arial Narrow"/>
        <family val="2"/>
      </rPr>
      <t>75%</t>
    </r>
  </si>
  <si>
    <t>Sedang</t>
  </si>
  <si>
    <r>
      <rPr>
        <sz val="10"/>
        <color rgb="FF000000"/>
        <rFont val="Arial Narrow"/>
        <family val="2"/>
      </rPr>
      <t>(4)</t>
    </r>
    <r>
      <rPr>
        <sz val="7"/>
        <color rgb="FF000000"/>
        <rFont val="Arial Narrow"/>
        <family val="2"/>
      </rPr>
      <t xml:space="preserve">             </t>
    </r>
    <r>
      <rPr>
        <sz val="10"/>
        <color rgb="FF000000"/>
        <rFont val="Arial Narrow"/>
        <family val="2"/>
      </rPr>
      <t> </t>
    </r>
  </si>
  <si>
    <r>
      <rPr>
        <sz val="10"/>
        <color rgb="FF000000"/>
        <rFont val="Arial Narrow"/>
        <family val="2"/>
      </rPr>
      <t xml:space="preserve">51% </t>
    </r>
    <r>
      <rPr>
        <sz val="12"/>
        <color rgb="FF000000"/>
        <rFont val="Arial Narrow"/>
        <family val="2"/>
      </rPr>
      <t xml:space="preserve">≤ </t>
    </r>
    <r>
      <rPr>
        <sz val="10"/>
        <color rgb="FF000000"/>
        <rFont val="Arial Narrow"/>
        <family val="2"/>
      </rPr>
      <t>65%</t>
    </r>
  </si>
  <si>
    <t>Rendah</t>
  </si>
  <si>
    <t xml:space="preserve">                                              Drs. KHAIRIL ADLI, M.Si</t>
  </si>
  <si>
    <r>
      <rPr>
        <sz val="10"/>
        <color rgb="FF000000"/>
        <rFont val="Arial Narrow"/>
        <family val="2"/>
      </rPr>
      <t>(5)</t>
    </r>
    <r>
      <rPr>
        <sz val="7"/>
        <color rgb="FF000000"/>
        <rFont val="Arial Narrow"/>
        <family val="2"/>
      </rPr>
      <t xml:space="preserve">             </t>
    </r>
    <r>
      <rPr>
        <sz val="10"/>
        <color rgb="FF000000"/>
        <rFont val="Arial Narrow"/>
        <family val="2"/>
      </rPr>
      <t> </t>
    </r>
  </si>
  <si>
    <r>
      <rPr>
        <sz val="12"/>
        <color rgb="FF000000"/>
        <rFont val="Arial Narrow"/>
        <family val="2"/>
      </rPr>
      <t>≤</t>
    </r>
    <r>
      <rPr>
        <sz val="10"/>
        <color rgb="FF000000"/>
        <rFont val="Arial Narrow"/>
        <family val="2"/>
      </rPr>
      <t xml:space="preserve"> 50%</t>
    </r>
  </si>
  <si>
    <t>Sangat Rendah</t>
  </si>
  <si>
    <t xml:space="preserve">                                            Pembina Utama Muda (IV/c)</t>
  </si>
  <si>
    <t xml:space="preserve">                                            NIP. 19700511 199101 1 001</t>
  </si>
  <si>
    <t>Dumai,   02       DESEMBER 2022</t>
  </si>
  <si>
    <t>2%</t>
  </si>
  <si>
    <t>Dumai,          NOVEMBER 2022</t>
  </si>
  <si>
    <t>Sasaran SKPD</t>
  </si>
  <si>
    <t>Realisasi Capaian Kinerja RPJMD sampai dengan RKPD Tahun 2022</t>
  </si>
  <si>
    <t>Target kinerja dan anggaran berjalan 
tahun 2023 yang dievaluasi</t>
  </si>
  <si>
    <t>Realisasi Kinerja Sampai Dengan Triwulan III</t>
  </si>
  <si>
    <t>Realisasi Capaian Kinerja dan Anggaran RKPD yang dievaluasi (2023)</t>
  </si>
  <si>
    <t>Tingkat Capaian Kinerja dan Realisasi Anggaran RKPD Tahun 2023 (%)</t>
  </si>
  <si>
    <t>Realisasi Kinerja dan Anggaran RPJMD s/d Tahun 2023(Akhir Tahun Pelaksanaan RKPD Tahun 2023)</t>
  </si>
  <si>
    <t>Tingkat Capaian Kinerja dan Realisasi Anggaran RPJMD  s/d tahun 2023 (%)</t>
  </si>
  <si>
    <t>Laporan</t>
  </si>
  <si>
    <t>Paket</t>
  </si>
  <si>
    <t>Pengadaan Kendaraan Perorangan Dinas atau Kendaraan Dinas Jabatan</t>
  </si>
  <si>
    <t xml:space="preserve">Jumlah Unit Kendaraan Perorangan Dinas atau Kendaraan Dinas Jabatan yang Disediakan </t>
  </si>
  <si>
    <t>Pengadaan Mebel</t>
  </si>
  <si>
    <t>Jumlah Paket Mebel yang Disediakan</t>
  </si>
  <si>
    <t>Pengadaan Sarana dan
Prasarana Pendukung
Gedung Kantor atau
Bangunan Lainnya</t>
  </si>
  <si>
    <t>umlah Unit Sarana dan Prasarana Pendukung Gedung Kantor atau
Bangunan Lainnya yang Disediakan</t>
  </si>
  <si>
    <t>Layanan</t>
  </si>
  <si>
    <t>Monitoring, Evaluasi dan Pelaporan Pengembangan Ekosistem SPBE</t>
  </si>
  <si>
    <t>Jumlah Dokumen Monitoring, Evaluasi dan Pelaporan Penyelenggaraan SPBE</t>
  </si>
  <si>
    <t>Pelaksanaan Keamanan
Informasi Pemerintahan
Daerah Kabupaten/Kota
Berbasis Elektronik dan Non
Elektroni</t>
  </si>
  <si>
    <t xml:space="preserve">Perangkat Daerah </t>
  </si>
  <si>
    <r>
      <t xml:space="preserve">Faktor Pendorong Keberhasilan Kinerja : </t>
    </r>
    <r>
      <rPr>
        <b/>
        <sz val="14"/>
        <color theme="4"/>
        <rFont val="Arial Narrow"/>
        <family val="2"/>
      </rPr>
      <t xml:space="preserve">Telah dilaksanakan nya Realisasi Anggaran 2023 dengan persentase 99,92% fisik dan 98,27% Keuangan, 
faktor keberhasilan ini adanya dukungan dan dorongan dari Kepala Dinas kepada Bidang-bidang agar lebih memaksimalkan dalam merealisasikan Anggaran dan lebih efektif serta tepat sasaran </t>
    </r>
  </si>
  <si>
    <r>
      <t xml:space="preserve">Faktor Penghambat Pencapaian Kinerja : </t>
    </r>
    <r>
      <rPr>
        <b/>
        <sz val="14"/>
        <color theme="4"/>
        <rFont val="Arial Narrow"/>
        <family val="2"/>
      </rPr>
      <t>terdapat kekurangan SDM ASN yang mempunyai kapasitas sesuai dengan tugas pokok dan fungsi sehingga penggunaan Anggaran geraknya terbatas 
dan adanya penggunaan anggaran yang harus menunggu proses, yang akan dibelanjakan untuk keperluan fasilitas gedung kantor baru di lt.II Mall Pelayanan Publik</t>
    </r>
  </si>
  <si>
    <r>
      <t xml:space="preserve">Tindak lanjut yang diperlukan dalam triwulan berikutnya : </t>
    </r>
    <r>
      <rPr>
        <b/>
        <sz val="14"/>
        <color theme="4"/>
        <rFont val="Arial Narrow"/>
        <family val="2"/>
      </rPr>
      <t>Perlunya dukungan dan dorongan dari Kepala Dinas, Sekretaris dan Kepala bidang-bidang terkait agar menjadi pusat perhatian dalam memaksimalkan Penggunaan Anggaran disetiap Triwulan.
 Agar persentasenya memenuhi target realisasi per triwulannya.</t>
    </r>
  </si>
  <si>
    <r>
      <t xml:space="preserve">Tindak lanjut yang diperlukan dalam RKPD berikutnya : </t>
    </r>
    <r>
      <rPr>
        <b/>
        <sz val="14"/>
        <color theme="4"/>
        <rFont val="Arial Narrow"/>
        <family val="2"/>
      </rPr>
      <t>lebih memaksimalkan Program, kegiatan dan sub kegiatan yang belum terpenuhi di RKPD sebelumnya,
 dengan dukungan Anggaran yang memadai sesuai dengan keperluan Instansi demi terwujudnya Program - Program Pemerintah Daerah.</t>
    </r>
  </si>
  <si>
    <t>Dumai,  08 Januari 2024</t>
  </si>
  <si>
    <t>KEPALA DISKOMINFOTIKSAN KOTA DUMAI,</t>
  </si>
  <si>
    <t>Drs. KHAIRIL ADLI, M.Si</t>
  </si>
  <si>
    <t>Pembina Utama Muda (IV/c)</t>
  </si>
  <si>
    <t>NIP. 19700511 199101 1 001</t>
  </si>
  <si>
    <t>Evaluasi Terhadap Hasil Renja Perangkat Daerah Lingkup Kota</t>
  </si>
  <si>
    <t>Renja Dinas Komunikasi Informatika Statistik dan Persandian Kota Dumai</t>
  </si>
  <si>
    <t>Periode Pelaksanaan: Juli-September (TRIWULAN III)</t>
  </si>
  <si>
    <t>Sasaran</t>
  </si>
  <si>
    <t>Target Renstra Perangkat Daerah Pada Tahun 2026</t>
  </si>
  <si>
    <t>Realisasi Capaian Kinerja Renstra Perangkat Daerah sampai dengan Renja Perangkat Derah Tahun 2023</t>
  </si>
  <si>
    <t>Target kinerja dan anggaran Renja Perangkat Daerah Tahun 2024</t>
  </si>
  <si>
    <t>Realisasi Kinerja Sampai Dengan Triwulan (Data APBD Tahun 2024))</t>
  </si>
  <si>
    <t>Realisasi Capaian Kinerja dan Anggaran APBD (2024)</t>
  </si>
  <si>
    <t>Tingkat Capaian Kinerja dan Realisasi Anggaran Renja Perangkat Daerah Tahun 2024 (%)</t>
  </si>
  <si>
    <t>Realisasi Kinerja dan Anggaran Renstra s/d Tahun 2024</t>
  </si>
  <si>
    <t>Tingkat Capaian Kinerja dan Realisasi Anggaran Renstra  s/d tahun 2024 (%)</t>
  </si>
  <si>
    <t>Semua Bidang</t>
  </si>
  <si>
    <t>DINAS KOMINFOTIKSAN KOTA DUMAI</t>
  </si>
  <si>
    <t>Koordinasi dan Penyusunan Laporan Capaian Kinerja dan Ikhtisar Realisasi Kinerja SKPD</t>
  </si>
  <si>
    <t xml:space="preserve">Pengadaan Pakaian Dinas beserta Atribut Kelengkapannya </t>
  </si>
  <si>
    <t>Jumlah Paket Pakaian Dinas Beserta Atribut Kelengkapan</t>
  </si>
  <si>
    <t>Jumlah Penyediaan Kebutuhan Alat Tulis Kantor (12 Bulan)</t>
  </si>
  <si>
    <t>Jumlah penyediaan makanan dan minuman tamu, rapat serta kegiatan (bulan)</t>
  </si>
  <si>
    <t>Jumlah Paket Mebel yang disediakan</t>
  </si>
  <si>
    <t>Pengadaan Peralatan Mesin Lainnya</t>
  </si>
  <si>
    <t>Jumlah Unit Peralatan Mesin Lainnya yang disediakan</t>
  </si>
  <si>
    <t>Pengadaan Sarana dan Prasarana Gedung Kantor atau Bangunan Lainnya</t>
  </si>
  <si>
    <t>Jumlah Unit Sarana dan Prasarana Gedung Kantor atau Bangunan Lainnya yang disediakan</t>
  </si>
  <si>
    <t>Jumlah kebutuhan jasa Administrasi Perkantoran, Kebersihan,Keamanan, &amp; Supir (12 bulan)</t>
  </si>
  <si>
    <t>Penyediaan Jasa
Pemeliharaan, Biaya
Pemeliharaan, dan Pajak
Kendaraan Perorangan Dinas
atau Kendaraan Dinas Jabatan</t>
  </si>
  <si>
    <t>Penyediaan Jasa
Pemeliharaan, Biaya
Pemeliharaan, Pajak dan
Perizinan Kendaraan Dinas
Operasional atau Lapangan</t>
  </si>
  <si>
    <t xml:space="preserve">Pemeliharaan/Rehabilitasi Saranan dan Prasarana Pendukung Gedung Kantor atau Bangunan Lainnya </t>
  </si>
  <si>
    <t>Jumlah Saranan dan Prasarana Pendukung Gedung Kantor atau Bangunan Lainnya yang dipelihara/Direhabilitas</t>
  </si>
  <si>
    <t>Jumlah Laporan Pelaksanaan Urusan Pemerintahan yang Terkait dengan Kewenangan Lain yang Dilimpahkan</t>
  </si>
  <si>
    <t>Pelaksanaan Keamanan
Informasi Pemerintahan
Daerah Kabupaten/Kota
Berbasis Elektronik dan Non
Elektronik</t>
  </si>
  <si>
    <t>Penyediaan layanan keamanan informasi pemerintah daerah kab/kota 
Sektoral</t>
  </si>
  <si>
    <t>Dumai,         Desember 2024</t>
  </si>
  <si>
    <t>KEPALA DINAS KOMINFOTIKSAN KOTA DUMAI,</t>
  </si>
  <si>
    <t>Drs.H.KHAIRIL ADLI, M.Si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</si>
</sst>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 #,##0_-;_-* &quot;-&quot;_-;_-@_-"/>
    <numFmt numFmtId="165" formatCode="_-* #,##0.00_-;\-* #,##0.00_-;_-* &quot;-&quot;_-;_-@_-"/>
    <numFmt numFmtId="166" formatCode="_(* #,##0_);_(* \(#,##0\);_(* &quot;-&quot;??_);_(@_)"/>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7"/>
      <color theme="1"/>
      <name val="Calibri"/>
      <family val="2"/>
      <scheme val="minor"/>
    </font>
    <font>
      <b/>
      <sz val="10"/>
      <color rgb="FF000000"/>
      <name val="Arial Narrow"/>
      <family val="2"/>
    </font>
    <font>
      <sz val="11"/>
      <color rgb="FF000000"/>
      <name val="Arial Narrow"/>
      <family val="2"/>
    </font>
    <font>
      <sz val="11"/>
      <color rgb="FFFFFFFF"/>
      <name val="Arial Narrow"/>
      <family val="2"/>
    </font>
    <font>
      <b/>
      <sz val="11"/>
      <color rgb="FF000000"/>
      <name val="Arial Narrow"/>
      <family val="2"/>
    </font>
    <font>
      <sz val="8"/>
      <color rgb="FF000000"/>
      <name val="Arial Narrow"/>
      <family val="2"/>
    </font>
    <font>
      <sz val="7"/>
      <color rgb="FF000000"/>
      <name val="Arial Narrow"/>
      <family val="2"/>
    </font>
    <font>
      <b/>
      <sz val="8"/>
      <color rgb="FF000000"/>
      <name val="Arial Narrow"/>
      <family val="2"/>
    </font>
    <font>
      <sz val="8"/>
      <color theme="1"/>
      <name val="Arial Narrow"/>
      <family val="2"/>
    </font>
    <font>
      <b/>
      <sz val="11"/>
      <color rgb="FFFFFFFF"/>
      <name val="Arial Narrow"/>
      <family val="2"/>
    </font>
    <font>
      <b/>
      <sz val="8"/>
      <color theme="1"/>
      <name val="Arial Narrow"/>
      <family val="2"/>
    </font>
    <font>
      <sz val="9"/>
      <color rgb="FF000000"/>
      <name val="Arial Narrow"/>
      <family val="2"/>
    </font>
    <font>
      <sz val="10"/>
      <color rgb="FF000000"/>
      <name val="Arial Narrow"/>
      <family val="2"/>
    </font>
    <font>
      <sz val="12"/>
      <color rgb="FF000000"/>
      <name val="Arial"/>
      <family val="2"/>
    </font>
    <font>
      <sz val="12"/>
      <color rgb="FF000000"/>
      <name val="Arial Narrow"/>
      <family val="2"/>
    </font>
    <font>
      <sz val="16"/>
      <color rgb="FF000000"/>
      <name val="Arial Narrow"/>
      <family val="2"/>
    </font>
    <font>
      <sz val="18"/>
      <color rgb="FF000000"/>
      <name val="Arial Narrow"/>
      <family val="2"/>
    </font>
    <font>
      <b/>
      <sz val="12"/>
      <color rgb="FF000000"/>
      <name val="Arial Narrow"/>
      <family val="2"/>
    </font>
    <font>
      <b/>
      <sz val="18"/>
      <color rgb="FF000000"/>
      <name val="Arial Narrow"/>
      <family val="2"/>
    </font>
    <font>
      <b/>
      <sz val="16"/>
      <color rgb="FF000000"/>
      <name val="Arial Narrow"/>
      <family val="2"/>
    </font>
    <font>
      <sz val="12"/>
      <color theme="1"/>
      <name val="Arial Narrow"/>
      <family val="2"/>
    </font>
    <font>
      <b/>
      <sz val="12"/>
      <color theme="1"/>
      <name val="Arial Narrow"/>
      <family val="2"/>
    </font>
    <font>
      <b/>
      <sz val="14"/>
      <color rgb="FF000000"/>
      <name val="Arial Narrow"/>
      <family val="2"/>
    </font>
    <font>
      <b/>
      <sz val="14"/>
      <color theme="4"/>
      <name val="Arial Narrow"/>
      <family val="2"/>
    </font>
    <font>
      <sz val="18"/>
      <color rgb="FF000000"/>
      <name val="Arial"/>
      <family val="2"/>
    </font>
    <font>
      <sz val="16"/>
      <color rgb="FF000000"/>
      <name val="Arial"/>
      <family val="2"/>
    </font>
    <font>
      <b/>
      <sz val="9"/>
      <color indexed="81"/>
      <name val="Tahoma"/>
      <family val="2"/>
    </font>
    <font>
      <sz val="9"/>
      <color indexed="81"/>
      <name val="Tahoma"/>
      <family val="2"/>
    </font>
    <font>
      <sz val="11"/>
      <name val="Calibri"/>
    </font>
    <font>
      <sz val="11"/>
      <color rgb="FF000000"/>
      <name val="Calibri"/>
      <family val="2"/>
    </font>
  </fonts>
  <fills count="11">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rgb="FFFFFFFF"/>
        <bgColor rgb="FFFFFFFF"/>
      </patternFill>
    </fill>
    <fill>
      <patternFill patternType="solid">
        <fgColor rgb="FFFF0000"/>
        <bgColor indexed="64"/>
      </patternFill>
    </fill>
    <fill>
      <patternFill patternType="solid">
        <fgColor theme="8" tint="0.39997558519241921"/>
        <bgColor indexed="64"/>
      </patternFill>
    </fill>
    <fill>
      <patternFill patternType="solid">
        <fgColor rgb="FFB7DDE8"/>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indexed="64"/>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31" fillId="0" borderId="0">
      <alignment vertical="center"/>
    </xf>
    <xf numFmtId="9" fontId="32" fillId="0" borderId="0">
      <alignment vertical="top"/>
      <protection locked="0"/>
    </xf>
  </cellStyleXfs>
  <cellXfs count="502">
    <xf numFmtId="0" fontId="0" fillId="0" borderId="0" xfId="0"/>
    <xf numFmtId="165" fontId="0" fillId="0" borderId="0" xfId="1" applyNumberFormat="1" applyFont="1" applyAlignment="1">
      <alignment vertical="center"/>
    </xf>
    <xf numFmtId="165" fontId="0" fillId="0" borderId="0" xfId="1" applyNumberFormat="1" applyFont="1" applyAlignment="1">
      <alignment horizontal="center" vertical="center"/>
    </xf>
    <xf numFmtId="165" fontId="0" fillId="0" borderId="0" xfId="1" applyNumberFormat="1" applyFont="1" applyAlignment="1">
      <alignment horizontal="right" vertical="center"/>
    </xf>
    <xf numFmtId="165" fontId="0" fillId="0" borderId="0" xfId="1" applyNumberFormat="1" applyFont="1" applyAlignment="1">
      <alignment horizontal="left" vertical="center"/>
    </xf>
    <xf numFmtId="165" fontId="1" fillId="0" borderId="0" xfId="1" applyNumberFormat="1" applyFont="1" applyAlignment="1">
      <alignment vertical="center"/>
    </xf>
    <xf numFmtId="165" fontId="2" fillId="0" borderId="1" xfId="1" applyNumberFormat="1" applyFont="1" applyBorder="1" applyAlignment="1">
      <alignment horizontal="center" vertical="center" wrapText="1"/>
    </xf>
    <xf numFmtId="165" fontId="2" fillId="0" borderId="1" xfId="1" applyNumberFormat="1" applyFont="1" applyBorder="1" applyAlignment="1">
      <alignment horizontal="center" vertical="center"/>
    </xf>
    <xf numFmtId="165" fontId="0" fillId="0" borderId="1" xfId="1" applyNumberFormat="1" applyFont="1" applyBorder="1" applyAlignment="1">
      <alignment horizontal="left" vertical="center"/>
    </xf>
    <xf numFmtId="165" fontId="0" fillId="0" borderId="1" xfId="1" applyNumberFormat="1" applyFont="1" applyBorder="1" applyAlignment="1">
      <alignment horizontal="center" vertical="center"/>
    </xf>
    <xf numFmtId="165" fontId="0" fillId="0" borderId="1" xfId="1" applyNumberFormat="1" applyFont="1" applyBorder="1" applyAlignment="1">
      <alignment horizontal="right" vertical="center"/>
    </xf>
    <xf numFmtId="165" fontId="2" fillId="0" borderId="1" xfId="1" applyNumberFormat="1" applyFont="1" applyBorder="1" applyAlignment="1">
      <alignment horizontal="left" vertical="center"/>
    </xf>
    <xf numFmtId="165" fontId="2" fillId="0" borderId="1" xfId="1" applyNumberFormat="1" applyFont="1" applyBorder="1" applyAlignment="1">
      <alignment horizontal="right" vertical="center"/>
    </xf>
    <xf numFmtId="165" fontId="2" fillId="0" borderId="1" xfId="1" applyNumberFormat="1" applyFont="1" applyBorder="1" applyAlignment="1">
      <alignment horizontal="left" vertical="center" wrapText="1"/>
    </xf>
    <xf numFmtId="165" fontId="0" fillId="0" borderId="1" xfId="1" applyNumberFormat="1" applyFont="1" applyBorder="1" applyAlignment="1">
      <alignment horizontal="left" vertical="center" wrapText="1"/>
    </xf>
    <xf numFmtId="165" fontId="1" fillId="0" borderId="1" xfId="1" applyNumberFormat="1" applyFont="1" applyBorder="1" applyAlignment="1">
      <alignment horizontal="right" vertical="center"/>
    </xf>
    <xf numFmtId="165" fontId="1" fillId="0" borderId="1" xfId="1" applyNumberFormat="1" applyFont="1" applyBorder="1" applyAlignment="1">
      <alignment horizontal="left" vertical="center" wrapText="1"/>
    </xf>
    <xf numFmtId="165" fontId="1" fillId="0" borderId="1" xfId="1" applyNumberFormat="1" applyFont="1" applyBorder="1" applyAlignment="1">
      <alignment horizontal="center" vertical="center"/>
    </xf>
    <xf numFmtId="0" fontId="3" fillId="0" borderId="1" xfId="1" applyNumberFormat="1" applyFont="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0" fillId="0" borderId="0" xfId="0" applyAlignment="1">
      <alignment vertical="center"/>
    </xf>
    <xf numFmtId="0" fontId="5" fillId="0" borderId="0" xfId="0" applyFont="1" applyAlignment="1">
      <alignmen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5" fillId="0" borderId="11"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9" fillId="0" borderId="11" xfId="0" applyFont="1" applyBorder="1" applyAlignment="1">
      <alignment horizontal="center" vertical="center" wrapText="1"/>
    </xf>
    <xf numFmtId="0" fontId="9" fillId="3" borderId="11" xfId="0" applyFont="1" applyFill="1" applyBorder="1" applyAlignment="1">
      <alignment horizontal="center" vertical="center" wrapText="1"/>
    </xf>
    <xf numFmtId="0" fontId="9" fillId="0" borderId="12" xfId="0" applyFont="1" applyBorder="1" applyAlignment="1">
      <alignment horizontal="center"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8" fillId="4" borderId="10" xfId="0" applyFont="1" applyFill="1" applyBorder="1" applyAlignment="1">
      <alignment horizontal="center" vertical="center" wrapText="1"/>
    </xf>
    <xf numFmtId="9" fontId="8" fillId="4" borderId="11" xfId="0" applyNumberFormat="1"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4" borderId="11" xfId="0" applyFont="1" applyFill="1" applyBorder="1" applyAlignment="1">
      <alignment horizontal="left" vertical="center" wrapText="1"/>
    </xf>
    <xf numFmtId="2" fontId="8" fillId="4" borderId="11" xfId="0" applyNumberFormat="1" applyFont="1" applyFill="1" applyBorder="1" applyAlignment="1">
      <alignment horizontal="right" vertical="center" wrapText="1"/>
    </xf>
    <xf numFmtId="166" fontId="8" fillId="4" borderId="11" xfId="0" applyNumberFormat="1" applyFont="1" applyFill="1" applyBorder="1" applyAlignment="1">
      <alignment horizontal="right" vertical="center" wrapText="1"/>
    </xf>
    <xf numFmtId="0" fontId="8" fillId="4" borderId="12" xfId="0" applyFont="1" applyFill="1" applyBorder="1" applyAlignment="1">
      <alignment vertical="center" wrapText="1"/>
    </xf>
    <xf numFmtId="0" fontId="8" fillId="4" borderId="13" xfId="0" applyFont="1" applyFill="1" applyBorder="1" applyAlignment="1">
      <alignment vertical="center" wrapText="1"/>
    </xf>
    <xf numFmtId="166" fontId="10" fillId="4" borderId="11" xfId="0" applyNumberFormat="1" applyFont="1" applyFill="1" applyBorder="1" applyAlignment="1">
      <alignment horizontal="right" vertical="center" wrapText="1"/>
    </xf>
    <xf numFmtId="166" fontId="8" fillId="4" borderId="11" xfId="0" applyNumberFormat="1" applyFont="1" applyFill="1" applyBorder="1" applyAlignment="1">
      <alignment horizontal="center" vertical="center" wrapText="1"/>
    </xf>
    <xf numFmtId="10" fontId="10" fillId="4" borderId="11" xfId="0" applyNumberFormat="1" applyFont="1" applyFill="1" applyBorder="1" applyAlignment="1">
      <alignment horizontal="right" vertical="center" wrapText="1"/>
    </xf>
    <xf numFmtId="2" fontId="10" fillId="4" borderId="11" xfId="0" applyNumberFormat="1" applyFont="1" applyFill="1" applyBorder="1" applyAlignment="1">
      <alignment horizontal="right" vertical="center" wrapText="1"/>
    </xf>
    <xf numFmtId="10" fontId="10" fillId="4" borderId="11" xfId="0" applyNumberFormat="1" applyFont="1" applyFill="1" applyBorder="1" applyAlignment="1">
      <alignment horizontal="center" vertical="center" wrapText="1"/>
    </xf>
    <xf numFmtId="10" fontId="10" fillId="4" borderId="12" xfId="0" applyNumberFormat="1" applyFont="1" applyFill="1" applyBorder="1" applyAlignment="1">
      <alignment horizontal="center" vertical="center" wrapText="1"/>
    </xf>
    <xf numFmtId="0" fontId="7" fillId="4" borderId="14"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4" borderId="0" xfId="0" applyFont="1" applyFill="1" applyAlignment="1">
      <alignment vertical="center"/>
    </xf>
    <xf numFmtId="0" fontId="6" fillId="4" borderId="0" xfId="0" applyFont="1" applyFill="1" applyAlignment="1">
      <alignment vertical="center"/>
    </xf>
    <xf numFmtId="0" fontId="0" fillId="4" borderId="0" xfId="0" applyFill="1" applyAlignment="1">
      <alignment vertical="center"/>
    </xf>
    <xf numFmtId="0" fontId="8" fillId="5" borderId="10" xfId="0" applyFont="1" applyFill="1" applyBorder="1" applyAlignment="1">
      <alignment horizontal="center" vertical="center" wrapText="1"/>
    </xf>
    <xf numFmtId="9" fontId="8" fillId="5" borderId="11" xfId="0" applyNumberFormat="1" applyFont="1" applyFill="1" applyBorder="1" applyAlignment="1">
      <alignment horizontal="left" vertical="center" wrapText="1"/>
    </xf>
    <xf numFmtId="0" fontId="10" fillId="5" borderId="11" xfId="0" applyFont="1" applyFill="1" applyBorder="1" applyAlignment="1">
      <alignment horizontal="left" vertical="center" wrapText="1"/>
    </xf>
    <xf numFmtId="2" fontId="8" fillId="5" borderId="11" xfId="0" applyNumberFormat="1" applyFont="1" applyFill="1" applyBorder="1" applyAlignment="1">
      <alignment horizontal="right" vertical="center" wrapText="1"/>
    </xf>
    <xf numFmtId="166" fontId="8" fillId="5" borderId="11" xfId="0" applyNumberFormat="1" applyFont="1" applyFill="1" applyBorder="1" applyAlignment="1">
      <alignment horizontal="right" vertical="center" wrapText="1"/>
    </xf>
    <xf numFmtId="0" fontId="8" fillId="5" borderId="12" xfId="0" applyFont="1" applyFill="1" applyBorder="1" applyAlignment="1">
      <alignment vertical="center" wrapText="1"/>
    </xf>
    <xf numFmtId="0" fontId="8" fillId="5" borderId="13" xfId="0" applyFont="1" applyFill="1" applyBorder="1" applyAlignment="1">
      <alignment vertical="center" wrapText="1"/>
    </xf>
    <xf numFmtId="166" fontId="10" fillId="5" borderId="11" xfId="0" applyNumberFormat="1" applyFont="1" applyFill="1" applyBorder="1" applyAlignment="1">
      <alignment horizontal="right" vertical="center" wrapText="1"/>
    </xf>
    <xf numFmtId="166" fontId="8" fillId="5" borderId="11" xfId="0" applyNumberFormat="1" applyFont="1" applyFill="1" applyBorder="1" applyAlignment="1">
      <alignment horizontal="center" vertical="center" wrapText="1"/>
    </xf>
    <xf numFmtId="10" fontId="10" fillId="5" borderId="11" xfId="0" applyNumberFormat="1" applyFont="1" applyFill="1" applyBorder="1" applyAlignment="1">
      <alignment horizontal="right" vertical="center" wrapText="1"/>
    </xf>
    <xf numFmtId="2" fontId="10" fillId="5" borderId="11" xfId="0" applyNumberFormat="1" applyFont="1" applyFill="1" applyBorder="1" applyAlignment="1">
      <alignment horizontal="right" vertical="center" wrapText="1"/>
    </xf>
    <xf numFmtId="10" fontId="10" fillId="5" borderId="11" xfId="0" applyNumberFormat="1" applyFont="1" applyFill="1" applyBorder="1" applyAlignment="1">
      <alignment horizontal="center" vertical="center" wrapText="1"/>
    </xf>
    <xf numFmtId="0" fontId="7" fillId="5" borderId="11"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5" fillId="5" borderId="0" xfId="0" applyFont="1" applyFill="1" applyAlignment="1">
      <alignment vertical="center"/>
    </xf>
    <xf numFmtId="0" fontId="6" fillId="5" borderId="0" xfId="0" applyFont="1" applyFill="1" applyAlignment="1">
      <alignment vertical="center"/>
    </xf>
    <xf numFmtId="0" fontId="0" fillId="5" borderId="0" xfId="0" applyFill="1" applyAlignment="1">
      <alignment vertical="center"/>
    </xf>
    <xf numFmtId="0" fontId="8" fillId="0" borderId="10" xfId="0" applyFont="1" applyBorder="1" applyAlignment="1">
      <alignment horizontal="center" vertical="center" wrapText="1"/>
    </xf>
    <xf numFmtId="9" fontId="8" fillId="0" borderId="11" xfId="0" applyNumberFormat="1"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2" fontId="8" fillId="0" borderId="11" xfId="0" applyNumberFormat="1" applyFont="1" applyBorder="1" applyAlignment="1">
      <alignment horizontal="right" vertical="center" wrapText="1"/>
    </xf>
    <xf numFmtId="166" fontId="8" fillId="0" borderId="11" xfId="0" applyNumberFormat="1" applyFont="1" applyBorder="1" applyAlignment="1">
      <alignment horizontal="right" vertical="center" wrapText="1"/>
    </xf>
    <xf numFmtId="166" fontId="8" fillId="2" borderId="11" xfId="0" applyNumberFormat="1" applyFont="1" applyFill="1" applyBorder="1" applyAlignment="1">
      <alignment horizontal="right" vertical="center" wrapText="1"/>
    </xf>
    <xf numFmtId="0" fontId="8" fillId="0" borderId="12" xfId="0" applyFont="1" applyBorder="1" applyAlignment="1">
      <alignment vertical="center" wrapText="1"/>
    </xf>
    <xf numFmtId="0" fontId="8" fillId="2" borderId="13" xfId="0" applyFont="1" applyFill="1" applyBorder="1" applyAlignment="1">
      <alignment vertical="center" wrapText="1"/>
    </xf>
    <xf numFmtId="166" fontId="8" fillId="2" borderId="11" xfId="0" quotePrefix="1" applyNumberFormat="1" applyFont="1" applyFill="1" applyBorder="1" applyAlignment="1">
      <alignment horizontal="center" vertical="center" wrapText="1"/>
    </xf>
    <xf numFmtId="166" fontId="8" fillId="2" borderId="11" xfId="0" applyNumberFormat="1" applyFont="1" applyFill="1" applyBorder="1" applyAlignment="1">
      <alignment horizontal="center" vertical="center" wrapText="1"/>
    </xf>
    <xf numFmtId="166" fontId="8" fillId="3" borderId="11" xfId="0" applyNumberFormat="1" applyFont="1" applyFill="1" applyBorder="1" applyAlignment="1">
      <alignment horizontal="center" vertical="center" wrapText="1"/>
    </xf>
    <xf numFmtId="10" fontId="8" fillId="0" borderId="11" xfId="0" applyNumberFormat="1" applyFont="1" applyBorder="1" applyAlignment="1">
      <alignment horizontal="right" vertical="center" wrapText="1"/>
    </xf>
    <xf numFmtId="10" fontId="8" fillId="0" borderId="11" xfId="0" applyNumberFormat="1" applyFont="1" applyBorder="1" applyAlignment="1">
      <alignment horizontal="center" vertical="center" wrapText="1"/>
    </xf>
    <xf numFmtId="10" fontId="8" fillId="0" borderId="12" xfId="0" applyNumberFormat="1" applyFont="1" applyBorder="1" applyAlignment="1">
      <alignment horizontal="center" vertical="center" wrapText="1"/>
    </xf>
    <xf numFmtId="0" fontId="5" fillId="0" borderId="11"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3" xfId="0" applyFont="1" applyBorder="1" applyAlignment="1">
      <alignment vertical="center" wrapText="1"/>
    </xf>
    <xf numFmtId="0" fontId="8" fillId="0" borderId="19" xfId="0" applyFont="1" applyBorder="1" applyAlignment="1">
      <alignment horizontal="left" vertical="center" wrapText="1"/>
    </xf>
    <xf numFmtId="0" fontId="11" fillId="0" borderId="0" xfId="0" applyFont="1" applyAlignment="1">
      <alignment vertical="center" wrapText="1"/>
    </xf>
    <xf numFmtId="0" fontId="11" fillId="0" borderId="17" xfId="0" applyFont="1" applyBorder="1" applyAlignment="1">
      <alignment vertical="center" wrapText="1"/>
    </xf>
    <xf numFmtId="0" fontId="8" fillId="5" borderId="11" xfId="0" applyFont="1" applyFill="1" applyBorder="1" applyAlignment="1">
      <alignment horizontal="left" vertical="center" wrapText="1"/>
    </xf>
    <xf numFmtId="0" fontId="11" fillId="0" borderId="11" xfId="0" applyFont="1" applyBorder="1" applyAlignment="1">
      <alignment vertical="center" wrapText="1"/>
    </xf>
    <xf numFmtId="166" fontId="10" fillId="5" borderId="11" xfId="0" applyNumberFormat="1" applyFont="1" applyFill="1" applyBorder="1" applyAlignment="1">
      <alignment horizontal="center" vertical="center" wrapText="1"/>
    </xf>
    <xf numFmtId="0" fontId="10" fillId="2" borderId="10" xfId="0" applyFont="1" applyFill="1" applyBorder="1" applyAlignment="1">
      <alignment horizontal="center" vertical="center" wrapText="1"/>
    </xf>
    <xf numFmtId="9" fontId="10" fillId="2" borderId="11" xfId="0" applyNumberFormat="1" applyFont="1" applyFill="1" applyBorder="1" applyAlignment="1">
      <alignment horizontal="left" vertical="center" wrapText="1"/>
    </xf>
    <xf numFmtId="0" fontId="11" fillId="2" borderId="20" xfId="0" applyFont="1" applyFill="1" applyBorder="1" applyAlignment="1">
      <alignment vertical="center" wrapText="1"/>
    </xf>
    <xf numFmtId="166" fontId="10" fillId="2" borderId="11" xfId="0" applyNumberFormat="1" applyFont="1" applyFill="1" applyBorder="1" applyAlignment="1">
      <alignment horizontal="right" vertical="center" wrapText="1"/>
    </xf>
    <xf numFmtId="0" fontId="7" fillId="2" borderId="11"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0" xfId="0" applyFont="1" applyFill="1" applyAlignment="1">
      <alignment vertical="center"/>
    </xf>
    <xf numFmtId="0" fontId="12" fillId="2" borderId="0" xfId="0" applyFont="1" applyFill="1" applyAlignment="1">
      <alignment vertical="center"/>
    </xf>
    <xf numFmtId="0" fontId="2" fillId="2" borderId="0" xfId="0" applyFont="1" applyFill="1" applyAlignment="1">
      <alignment vertical="center"/>
    </xf>
    <xf numFmtId="0" fontId="10" fillId="5" borderId="10" xfId="0" applyFont="1" applyFill="1" applyBorder="1" applyAlignment="1">
      <alignment horizontal="center" vertical="center" wrapText="1"/>
    </xf>
    <xf numFmtId="9" fontId="10" fillId="5" borderId="11" xfId="0" applyNumberFormat="1" applyFont="1" applyFill="1" applyBorder="1" applyAlignment="1">
      <alignment horizontal="left" vertical="center" wrapText="1"/>
    </xf>
    <xf numFmtId="0" fontId="13" fillId="5" borderId="12" xfId="0" applyFont="1" applyFill="1" applyBorder="1" applyAlignment="1">
      <alignment vertical="center" wrapText="1"/>
    </xf>
    <xf numFmtId="0" fontId="11" fillId="5" borderId="11" xfId="0" applyFont="1" applyFill="1" applyBorder="1" applyAlignment="1">
      <alignment vertical="center" wrapText="1"/>
    </xf>
    <xf numFmtId="166" fontId="8" fillId="5" borderId="11" xfId="0" quotePrefix="1" applyNumberFormat="1" applyFont="1" applyFill="1" applyBorder="1" applyAlignment="1">
      <alignment horizontal="right" vertical="center" wrapText="1"/>
    </xf>
    <xf numFmtId="0" fontId="7" fillId="5" borderId="15" xfId="0" applyFont="1" applyFill="1" applyBorder="1" applyAlignment="1">
      <alignment horizontal="left" vertical="center" wrapText="1"/>
    </xf>
    <xf numFmtId="0" fontId="7" fillId="5" borderId="0" xfId="0" applyFont="1" applyFill="1" applyAlignment="1">
      <alignment vertical="center"/>
    </xf>
    <xf numFmtId="0" fontId="12" fillId="5" borderId="0" xfId="0" applyFont="1" applyFill="1" applyAlignment="1">
      <alignment vertical="center"/>
    </xf>
    <xf numFmtId="0" fontId="2" fillId="5" borderId="0" xfId="0" applyFont="1" applyFill="1" applyAlignment="1">
      <alignment vertical="center"/>
    </xf>
    <xf numFmtId="0" fontId="11" fillId="2" borderId="12" xfId="0" applyFont="1" applyFill="1" applyBorder="1" applyAlignment="1">
      <alignment vertical="center" wrapText="1"/>
    </xf>
    <xf numFmtId="0" fontId="8" fillId="0" borderId="12" xfId="0" quotePrefix="1" applyFont="1" applyBorder="1" applyAlignment="1">
      <alignment vertical="center" wrapText="1"/>
    </xf>
    <xf numFmtId="9" fontId="8" fillId="2" borderId="11" xfId="0" applyNumberFormat="1" applyFont="1" applyFill="1" applyBorder="1" applyAlignment="1">
      <alignment horizontal="right" vertical="center" wrapText="1"/>
    </xf>
    <xf numFmtId="166" fontId="8" fillId="3" borderId="11" xfId="0" quotePrefix="1" applyNumberFormat="1" applyFont="1" applyFill="1" applyBorder="1" applyAlignment="1">
      <alignment horizontal="center" vertical="center" wrapText="1"/>
    </xf>
    <xf numFmtId="43" fontId="8" fillId="0" borderId="11" xfId="0" applyNumberFormat="1" applyFont="1" applyBorder="1" applyAlignment="1">
      <alignment horizontal="right" vertical="center" wrapText="1"/>
    </xf>
    <xf numFmtId="166" fontId="8" fillId="2" borderId="11" xfId="0" quotePrefix="1" applyNumberFormat="1" applyFont="1" applyFill="1" applyBorder="1" applyAlignment="1">
      <alignment horizontal="right" vertical="center" wrapText="1"/>
    </xf>
    <xf numFmtId="43" fontId="8" fillId="3" borderId="11" xfId="0" applyNumberFormat="1" applyFont="1" applyFill="1" applyBorder="1" applyAlignment="1">
      <alignment horizontal="center" vertical="center" wrapText="1"/>
    </xf>
    <xf numFmtId="0" fontId="8" fillId="0" borderId="12" xfId="0" applyFont="1" applyBorder="1" applyAlignment="1">
      <alignment horizontal="right" vertical="center" wrapText="1"/>
    </xf>
    <xf numFmtId="9" fontId="8" fillId="2" borderId="11" xfId="0" quotePrefix="1" applyNumberFormat="1" applyFont="1" applyFill="1" applyBorder="1" applyAlignment="1">
      <alignment horizontal="right" vertical="center" wrapText="1"/>
    </xf>
    <xf numFmtId="9" fontId="8" fillId="0" borderId="11" xfId="0" applyNumberFormat="1" applyFont="1" applyBorder="1" applyAlignment="1">
      <alignment horizontal="right" vertical="center" wrapText="1"/>
    </xf>
    <xf numFmtId="10" fontId="10" fillId="0" borderId="11" xfId="0" applyNumberFormat="1" applyFont="1" applyBorder="1" applyAlignment="1">
      <alignment horizontal="right" vertical="center" wrapText="1"/>
    </xf>
    <xf numFmtId="0" fontId="7" fillId="0" borderId="10" xfId="0" applyFont="1" applyBorder="1" applyAlignment="1">
      <alignment vertical="center"/>
    </xf>
    <xf numFmtId="0" fontId="7" fillId="0" borderId="11" xfId="0" applyFont="1" applyBorder="1" applyAlignment="1">
      <alignment vertical="center"/>
    </xf>
    <xf numFmtId="166" fontId="7" fillId="6" borderId="12" xfId="0" applyNumberFormat="1" applyFont="1" applyFill="1" applyBorder="1" applyAlignment="1">
      <alignment vertical="center"/>
    </xf>
    <xf numFmtId="10" fontId="7" fillId="0" borderId="11" xfId="0" applyNumberFormat="1" applyFont="1" applyBorder="1" applyAlignment="1">
      <alignment horizontal="right" vertical="center" wrapText="1"/>
    </xf>
    <xf numFmtId="2" fontId="7" fillId="0" borderId="11" xfId="0" applyNumberFormat="1" applyFont="1" applyBorder="1" applyAlignment="1">
      <alignment horizontal="right" vertical="center"/>
    </xf>
    <xf numFmtId="2" fontId="7" fillId="0" borderId="12" xfId="0" applyNumberFormat="1" applyFont="1" applyBorder="1" applyAlignment="1">
      <alignment horizontal="right" vertical="center"/>
    </xf>
    <xf numFmtId="0" fontId="14" fillId="0" borderId="11" xfId="0" applyFont="1" applyBorder="1" applyAlignment="1">
      <alignment vertical="center" wrapText="1"/>
    </xf>
    <xf numFmtId="0" fontId="7" fillId="0" borderId="21" xfId="0" applyFont="1" applyBorder="1" applyAlignment="1">
      <alignment vertical="center"/>
    </xf>
    <xf numFmtId="0" fontId="7" fillId="0" borderId="22" xfId="0" applyFont="1" applyBorder="1" applyAlignment="1">
      <alignment vertical="center"/>
    </xf>
    <xf numFmtId="0" fontId="7" fillId="0" borderId="22" xfId="0" applyFont="1" applyBorder="1" applyAlignment="1">
      <alignment horizontal="right" vertical="center" wrapText="1"/>
    </xf>
    <xf numFmtId="0" fontId="7" fillId="0" borderId="22" xfId="0" applyFont="1" applyBorder="1" applyAlignment="1">
      <alignment horizontal="right" vertical="center"/>
    </xf>
    <xf numFmtId="0" fontId="7" fillId="0" borderId="23" xfId="0" applyFont="1" applyBorder="1" applyAlignment="1">
      <alignment horizontal="right" vertical="center"/>
    </xf>
    <xf numFmtId="0" fontId="5" fillId="0" borderId="22" xfId="0" applyFont="1" applyBorder="1" applyAlignment="1">
      <alignment vertical="center" wrapText="1"/>
    </xf>
    <xf numFmtId="0" fontId="5" fillId="0" borderId="26" xfId="0" applyFont="1" applyBorder="1" applyAlignment="1">
      <alignment vertical="center" wrapText="1"/>
    </xf>
    <xf numFmtId="0" fontId="15" fillId="7" borderId="11" xfId="0" applyFont="1" applyFill="1" applyBorder="1" applyAlignment="1">
      <alignment horizontal="center" vertical="center" wrapText="1"/>
    </xf>
    <xf numFmtId="4" fontId="5" fillId="8" borderId="0" xfId="0" applyNumberFormat="1" applyFont="1" applyFill="1" applyAlignment="1">
      <alignment vertical="center"/>
    </xf>
    <xf numFmtId="9" fontId="5" fillId="0" borderId="0" xfId="2" applyFont="1" applyFill="1" applyAlignment="1">
      <alignment vertical="center"/>
    </xf>
    <xf numFmtId="0" fontId="15" fillId="0" borderId="11" xfId="0" applyFont="1" applyBorder="1" applyAlignment="1">
      <alignment horizontal="center" vertical="center" wrapText="1"/>
    </xf>
    <xf numFmtId="0" fontId="17" fillId="0" borderId="0" xfId="0" applyFont="1" applyAlignment="1">
      <alignment vertical="center"/>
    </xf>
    <xf numFmtId="0" fontId="17" fillId="0" borderId="11" xfId="0" applyFont="1" applyBorder="1" applyAlignment="1">
      <alignment horizontal="center" vertical="center" wrapText="1"/>
    </xf>
    <xf numFmtId="166" fontId="5" fillId="0" borderId="0" xfId="0" applyNumberFormat="1" applyFont="1" applyAlignment="1">
      <alignment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vertical="center" wrapText="1"/>
    </xf>
    <xf numFmtId="166" fontId="19" fillId="0" borderId="0" xfId="0" applyNumberFormat="1" applyFont="1" applyAlignment="1">
      <alignment vertical="center"/>
    </xf>
    <xf numFmtId="3" fontId="19" fillId="0" borderId="0" xfId="0" applyNumberFormat="1" applyFont="1" applyAlignment="1">
      <alignment vertical="center"/>
    </xf>
    <xf numFmtId="0" fontId="17"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7" fillId="0" borderId="11" xfId="0" applyFont="1" applyBorder="1" applyAlignment="1">
      <alignment vertical="center" wrapText="1"/>
    </xf>
    <xf numFmtId="0" fontId="18" fillId="0" borderId="14" xfId="0" applyFont="1" applyBorder="1" applyAlignment="1">
      <alignment vertical="center" wrapText="1"/>
    </xf>
    <xf numFmtId="0" fontId="8" fillId="0" borderId="18" xfId="0" applyFont="1" applyBorder="1" applyAlignment="1">
      <alignment horizontal="center" vertical="center" wrapText="1"/>
    </xf>
    <xf numFmtId="0" fontId="17" fillId="0" borderId="18" xfId="0" applyFont="1" applyBorder="1" applyAlignment="1">
      <alignment horizontal="center" vertical="center" wrapText="1"/>
    </xf>
    <xf numFmtId="0" fontId="18" fillId="0" borderId="14" xfId="0" applyFont="1" applyBorder="1" applyAlignment="1">
      <alignment horizontal="center" vertical="center" wrapText="1"/>
    </xf>
    <xf numFmtId="0" fontId="8" fillId="0" borderId="27" xfId="0" applyFont="1" applyBorder="1" applyAlignment="1">
      <alignment horizontal="center" vertical="center" wrapText="1"/>
    </xf>
    <xf numFmtId="0" fontId="17" fillId="0" borderId="27" xfId="0" applyFont="1" applyBorder="1" applyAlignment="1">
      <alignment vertical="center" wrapText="1"/>
    </xf>
    <xf numFmtId="0" fontId="18" fillId="0" borderId="11" xfId="0" applyFont="1" applyBorder="1" applyAlignment="1">
      <alignment horizontal="center" vertical="center" wrapText="1"/>
    </xf>
    <xf numFmtId="0" fontId="19" fillId="0" borderId="11" xfId="0" applyFont="1" applyBorder="1" applyAlignment="1">
      <alignment horizontal="center" vertical="center" wrapText="1"/>
    </xf>
    <xf numFmtId="0" fontId="19" fillId="3" borderId="11" xfId="0" applyFont="1" applyFill="1" applyBorder="1" applyAlignment="1">
      <alignment horizontal="center" vertical="center" wrapText="1"/>
    </xf>
    <xf numFmtId="0" fontId="19" fillId="0" borderId="12" xfId="0" applyFont="1" applyBorder="1" applyAlignment="1">
      <alignment horizontal="center" vertical="center" wrapText="1"/>
    </xf>
    <xf numFmtId="0" fontId="18" fillId="0" borderId="14" xfId="0" applyFont="1" applyBorder="1" applyAlignment="1">
      <alignment horizontal="left" vertical="center" wrapText="1"/>
    </xf>
    <xf numFmtId="0" fontId="20" fillId="4" borderId="11" xfId="0" applyFont="1" applyFill="1" applyBorder="1" applyAlignment="1">
      <alignment horizontal="left" vertical="center" wrapText="1"/>
    </xf>
    <xf numFmtId="0" fontId="17" fillId="4" borderId="11" xfId="0" applyFont="1" applyFill="1" applyBorder="1" applyAlignment="1">
      <alignment horizontal="left" vertical="center" wrapText="1"/>
    </xf>
    <xf numFmtId="2" fontId="18" fillId="4" borderId="11" xfId="0" applyNumberFormat="1" applyFont="1" applyFill="1" applyBorder="1" applyAlignment="1">
      <alignment horizontal="right" vertical="center" wrapText="1"/>
    </xf>
    <xf numFmtId="166" fontId="18" fillId="4" borderId="11" xfId="0" applyNumberFormat="1" applyFont="1" applyFill="1" applyBorder="1" applyAlignment="1">
      <alignment horizontal="right" vertical="center" wrapText="1"/>
    </xf>
    <xf numFmtId="0" fontId="18" fillId="4" borderId="12" xfId="0" applyFont="1" applyFill="1" applyBorder="1" applyAlignment="1">
      <alignment vertical="center" wrapText="1"/>
    </xf>
    <xf numFmtId="0" fontId="18" fillId="4" borderId="13" xfId="0" applyFont="1" applyFill="1" applyBorder="1" applyAlignment="1">
      <alignment vertical="center" wrapText="1"/>
    </xf>
    <xf numFmtId="166" fontId="21" fillId="4" borderId="11" xfId="0" applyNumberFormat="1" applyFont="1" applyFill="1" applyBorder="1" applyAlignment="1">
      <alignment horizontal="right" vertical="center" wrapText="1"/>
    </xf>
    <xf numFmtId="166" fontId="19" fillId="4" borderId="11" xfId="0" applyNumberFormat="1" applyFont="1" applyFill="1" applyBorder="1" applyAlignment="1">
      <alignment horizontal="center" vertical="center" wrapText="1"/>
    </xf>
    <xf numFmtId="10" fontId="21" fillId="4" borderId="11" xfId="0" applyNumberFormat="1" applyFont="1" applyFill="1" applyBorder="1" applyAlignment="1">
      <alignment horizontal="right" vertical="center" wrapText="1"/>
    </xf>
    <xf numFmtId="2" fontId="21" fillId="4" borderId="11" xfId="0" applyNumberFormat="1" applyFont="1" applyFill="1" applyBorder="1" applyAlignment="1">
      <alignment horizontal="right" vertical="center" wrapText="1"/>
    </xf>
    <xf numFmtId="10" fontId="21" fillId="4" borderId="11" xfId="0" applyNumberFormat="1" applyFont="1" applyFill="1" applyBorder="1" applyAlignment="1">
      <alignment horizontal="center" vertical="center" wrapText="1"/>
    </xf>
    <xf numFmtId="10" fontId="21" fillId="4" borderId="12" xfId="0" applyNumberFormat="1" applyFont="1" applyFill="1" applyBorder="1" applyAlignment="1">
      <alignment horizontal="center" vertical="center" wrapText="1"/>
    </xf>
    <xf numFmtId="0" fontId="22" fillId="4" borderId="14" xfId="0" applyFont="1" applyFill="1" applyBorder="1" applyAlignment="1">
      <alignment horizontal="left" vertical="center" wrapText="1"/>
    </xf>
    <xf numFmtId="0" fontId="20" fillId="5" borderId="11" xfId="0" applyFont="1" applyFill="1" applyBorder="1" applyAlignment="1">
      <alignment horizontal="left" vertical="center" wrapText="1"/>
    </xf>
    <xf numFmtId="2" fontId="18" fillId="5" borderId="11" xfId="0" applyNumberFormat="1" applyFont="1" applyFill="1" applyBorder="1" applyAlignment="1">
      <alignment horizontal="right" vertical="center" wrapText="1"/>
    </xf>
    <xf numFmtId="166" fontId="18" fillId="5" borderId="11" xfId="0" applyNumberFormat="1" applyFont="1" applyFill="1" applyBorder="1" applyAlignment="1">
      <alignment horizontal="right" vertical="center" wrapText="1"/>
    </xf>
    <xf numFmtId="0" fontId="18" fillId="5" borderId="12" xfId="0" applyFont="1" applyFill="1" applyBorder="1" applyAlignment="1">
      <alignment vertical="center" wrapText="1"/>
    </xf>
    <xf numFmtId="0" fontId="18" fillId="5" borderId="13" xfId="0" applyFont="1" applyFill="1" applyBorder="1" applyAlignment="1">
      <alignment vertical="center" wrapText="1"/>
    </xf>
    <xf numFmtId="166" fontId="21" fillId="5" borderId="11" xfId="0" applyNumberFormat="1" applyFont="1" applyFill="1" applyBorder="1" applyAlignment="1">
      <alignment horizontal="right" vertical="center" wrapText="1"/>
    </xf>
    <xf numFmtId="166" fontId="19" fillId="5" borderId="11" xfId="0" applyNumberFormat="1" applyFont="1" applyFill="1" applyBorder="1" applyAlignment="1">
      <alignment horizontal="center" vertical="center" wrapText="1"/>
    </xf>
    <xf numFmtId="10" fontId="21" fillId="5" borderId="11" xfId="0" applyNumberFormat="1" applyFont="1" applyFill="1" applyBorder="1" applyAlignment="1">
      <alignment horizontal="right" vertical="center" wrapText="1"/>
    </xf>
    <xf numFmtId="2" fontId="21" fillId="5" borderId="11" xfId="0" applyNumberFormat="1" applyFont="1" applyFill="1" applyBorder="1" applyAlignment="1">
      <alignment horizontal="right" vertical="center" wrapText="1"/>
    </xf>
    <xf numFmtId="10" fontId="21" fillId="5" borderId="11" xfId="0" applyNumberFormat="1" applyFont="1" applyFill="1" applyBorder="1" applyAlignment="1">
      <alignment horizontal="center" vertical="center" wrapText="1"/>
    </xf>
    <xf numFmtId="0" fontId="22" fillId="5" borderId="11" xfId="0" applyFont="1" applyFill="1" applyBorder="1" applyAlignment="1">
      <alignment horizontal="left" vertical="center" wrapText="1"/>
    </xf>
    <xf numFmtId="0" fontId="17" fillId="0" borderId="11" xfId="0" applyFont="1" applyBorder="1" applyAlignment="1">
      <alignment horizontal="left" vertical="center" wrapText="1"/>
    </xf>
    <xf numFmtId="0" fontId="17" fillId="0" borderId="0" xfId="0" applyFont="1" applyAlignment="1">
      <alignment horizontal="left" vertical="center" wrapText="1"/>
    </xf>
    <xf numFmtId="2" fontId="18" fillId="0" borderId="11" xfId="0" applyNumberFormat="1" applyFont="1" applyBorder="1" applyAlignment="1">
      <alignment horizontal="right" vertical="center" wrapText="1"/>
    </xf>
    <xf numFmtId="166" fontId="18" fillId="2" borderId="11" xfId="0" applyNumberFormat="1" applyFont="1" applyFill="1" applyBorder="1" applyAlignment="1">
      <alignment horizontal="right" vertical="center" wrapText="1"/>
    </xf>
    <xf numFmtId="0" fontId="18" fillId="0" borderId="12" xfId="0" applyFont="1" applyBorder="1" applyAlignment="1">
      <alignment vertical="center" wrapText="1"/>
    </xf>
    <xf numFmtId="0" fontId="18" fillId="2" borderId="13" xfId="0" applyFont="1" applyFill="1" applyBorder="1" applyAlignment="1">
      <alignment vertical="center" wrapText="1"/>
    </xf>
    <xf numFmtId="166" fontId="19" fillId="0" borderId="11" xfId="0" applyNumberFormat="1" applyFont="1" applyBorder="1" applyAlignment="1">
      <alignment horizontal="right" vertical="center" wrapText="1"/>
    </xf>
    <xf numFmtId="166" fontId="19" fillId="2" borderId="11" xfId="0" quotePrefix="1" applyNumberFormat="1" applyFont="1" applyFill="1" applyBorder="1" applyAlignment="1">
      <alignment horizontal="center" vertical="center" wrapText="1"/>
    </xf>
    <xf numFmtId="166" fontId="19" fillId="2" borderId="11" xfId="0" applyNumberFormat="1" applyFont="1" applyFill="1" applyBorder="1" applyAlignment="1">
      <alignment horizontal="center" vertical="center" wrapText="1"/>
    </xf>
    <xf numFmtId="10" fontId="19" fillId="0" borderId="11" xfId="0" applyNumberFormat="1" applyFont="1" applyBorder="1" applyAlignment="1">
      <alignment horizontal="right" vertical="center" wrapText="1"/>
    </xf>
    <xf numFmtId="10" fontId="19" fillId="0" borderId="11" xfId="0" applyNumberFormat="1" applyFont="1" applyBorder="1" applyAlignment="1">
      <alignment horizontal="center" vertical="center" wrapText="1"/>
    </xf>
    <xf numFmtId="10" fontId="19" fillId="0" borderId="12" xfId="0" applyNumberFormat="1" applyFont="1" applyBorder="1" applyAlignment="1">
      <alignment horizontal="center" vertical="center" wrapText="1"/>
    </xf>
    <xf numFmtId="0" fontId="18" fillId="0" borderId="11" xfId="0" applyFont="1" applyBorder="1" applyAlignment="1">
      <alignment horizontal="left" vertical="center" wrapText="1"/>
    </xf>
    <xf numFmtId="0" fontId="17" fillId="0" borderId="17" xfId="0" applyFont="1" applyBorder="1" applyAlignment="1">
      <alignment horizontal="left" vertical="center" wrapText="1"/>
    </xf>
    <xf numFmtId="166" fontId="19" fillId="2" borderId="11" xfId="0" applyNumberFormat="1" applyFont="1" applyFill="1" applyBorder="1" applyAlignment="1">
      <alignment horizontal="right" vertical="center" wrapText="1"/>
    </xf>
    <xf numFmtId="166" fontId="19" fillId="0" borderId="11" xfId="0" applyNumberFormat="1" applyFont="1" applyBorder="1" applyAlignment="1">
      <alignment horizontal="center" vertical="center" wrapText="1"/>
    </xf>
    <xf numFmtId="0" fontId="17" fillId="0" borderId="18" xfId="0" applyFont="1" applyBorder="1" applyAlignment="1">
      <alignment horizontal="left" vertical="center" wrapText="1"/>
    </xf>
    <xf numFmtId="0" fontId="18" fillId="0" borderId="13" xfId="0" applyFont="1" applyBorder="1" applyAlignment="1">
      <alignment vertical="center" wrapText="1"/>
    </xf>
    <xf numFmtId="0" fontId="17" fillId="0" borderId="19" xfId="0" applyFont="1" applyBorder="1" applyAlignment="1">
      <alignment horizontal="left" vertical="center" wrapText="1"/>
    </xf>
    <xf numFmtId="0" fontId="23" fillId="0" borderId="0" xfId="0" applyFont="1" applyAlignment="1">
      <alignment vertical="center" wrapText="1"/>
    </xf>
    <xf numFmtId="0" fontId="23" fillId="0" borderId="17" xfId="0" applyFont="1" applyBorder="1" applyAlignment="1">
      <alignment vertical="center" wrapText="1"/>
    </xf>
    <xf numFmtId="0" fontId="17" fillId="5" borderId="11" xfId="0" applyFont="1" applyFill="1" applyBorder="1" applyAlignment="1">
      <alignment horizontal="left" vertical="center" wrapText="1"/>
    </xf>
    <xf numFmtId="166" fontId="19" fillId="2" borderId="11" xfId="0" quotePrefix="1" applyNumberFormat="1" applyFont="1" applyFill="1" applyBorder="1" applyAlignment="1">
      <alignment horizontal="right" vertical="center" wrapText="1"/>
    </xf>
    <xf numFmtId="9" fontId="8" fillId="0" borderId="0" xfId="0" applyNumberFormat="1" applyFont="1" applyAlignment="1">
      <alignment horizontal="left" vertical="center" wrapText="1"/>
    </xf>
    <xf numFmtId="0" fontId="23" fillId="0" borderId="11" xfId="0" applyFont="1" applyBorder="1" applyAlignment="1">
      <alignment vertical="center" wrapText="1"/>
    </xf>
    <xf numFmtId="9" fontId="8" fillId="2" borderId="11" xfId="0" applyNumberFormat="1" applyFont="1" applyFill="1" applyBorder="1" applyAlignment="1">
      <alignment horizontal="left" vertical="center" wrapText="1"/>
    </xf>
    <xf numFmtId="9" fontId="8" fillId="5" borderId="18" xfId="0" applyNumberFormat="1" applyFont="1" applyFill="1" applyBorder="1" applyAlignment="1">
      <alignment horizontal="left" vertical="center" wrapText="1"/>
    </xf>
    <xf numFmtId="0" fontId="20" fillId="5" borderId="18" xfId="0" applyFont="1" applyFill="1" applyBorder="1" applyAlignment="1">
      <alignment horizontal="left" vertical="center" wrapText="1"/>
    </xf>
    <xf numFmtId="0" fontId="17" fillId="5" borderId="18" xfId="0" applyFont="1" applyFill="1" applyBorder="1" applyAlignment="1">
      <alignment horizontal="left" vertical="center" wrapText="1"/>
    </xf>
    <xf numFmtId="166" fontId="21" fillId="5" borderId="11" xfId="0" applyNumberFormat="1" applyFont="1" applyFill="1" applyBorder="1" applyAlignment="1">
      <alignment horizontal="center" vertical="center" wrapText="1"/>
    </xf>
    <xf numFmtId="9" fontId="8" fillId="0" borderId="12" xfId="0" applyNumberFormat="1" applyFont="1" applyBorder="1" applyAlignment="1">
      <alignment horizontal="left" vertical="center" wrapText="1"/>
    </xf>
    <xf numFmtId="9" fontId="8" fillId="0" borderId="1" xfId="0" applyNumberFormat="1" applyFont="1" applyBorder="1" applyAlignment="1">
      <alignment horizontal="left" vertical="center" wrapText="1"/>
    </xf>
    <xf numFmtId="0" fontId="17" fillId="2" borderId="1" xfId="0" applyFont="1" applyFill="1" applyBorder="1" applyAlignment="1">
      <alignment horizontal="left" vertical="center" wrapText="1"/>
    </xf>
    <xf numFmtId="2" fontId="8" fillId="2" borderId="13" xfId="0" applyNumberFormat="1" applyFont="1" applyFill="1" applyBorder="1" applyAlignment="1">
      <alignment horizontal="right" vertical="center" wrapText="1"/>
    </xf>
    <xf numFmtId="2" fontId="18" fillId="2" borderId="11" xfId="0" applyNumberFormat="1" applyFont="1" applyFill="1" applyBorder="1" applyAlignment="1">
      <alignment horizontal="right" vertical="center" wrapText="1"/>
    </xf>
    <xf numFmtId="0" fontId="18" fillId="2" borderId="12" xfId="0" applyFont="1" applyFill="1" applyBorder="1" applyAlignment="1">
      <alignment vertical="center" wrapText="1"/>
    </xf>
    <xf numFmtId="166" fontId="21" fillId="2" borderId="11" xfId="0" applyNumberFormat="1" applyFont="1" applyFill="1" applyBorder="1" applyAlignment="1">
      <alignment horizontal="right" vertical="center" wrapText="1"/>
    </xf>
    <xf numFmtId="0" fontId="22" fillId="2" borderId="11" xfId="0" applyFont="1" applyFill="1" applyBorder="1" applyAlignment="1">
      <alignment horizontal="left" vertical="center" wrapText="1"/>
    </xf>
    <xf numFmtId="9" fontId="8" fillId="2" borderId="17" xfId="0" applyNumberFormat="1" applyFont="1" applyFill="1" applyBorder="1" applyAlignment="1">
      <alignment horizontal="left"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9" fontId="8" fillId="5" borderId="12" xfId="0" applyNumberFormat="1" applyFont="1" applyFill="1" applyBorder="1" applyAlignment="1">
      <alignment horizontal="left" vertical="center" wrapText="1"/>
    </xf>
    <xf numFmtId="0" fontId="24" fillId="5" borderId="12" xfId="0" applyFont="1" applyFill="1" applyBorder="1" applyAlignment="1">
      <alignment vertical="center" wrapText="1"/>
    </xf>
    <xf numFmtId="0" fontId="23" fillId="5" borderId="11" xfId="0" applyFont="1" applyFill="1" applyBorder="1" applyAlignment="1">
      <alignment vertical="center" wrapText="1"/>
    </xf>
    <xf numFmtId="166" fontId="19" fillId="5" borderId="11" xfId="0" quotePrefix="1" applyNumberFormat="1" applyFont="1" applyFill="1" applyBorder="1" applyAlignment="1">
      <alignment horizontal="right" vertical="center" wrapText="1"/>
    </xf>
    <xf numFmtId="0" fontId="23" fillId="2" borderId="12" xfId="0" applyFont="1" applyFill="1" applyBorder="1" applyAlignment="1">
      <alignment vertical="center" wrapText="1"/>
    </xf>
    <xf numFmtId="9" fontId="10" fillId="2" borderId="12" xfId="0" applyNumberFormat="1" applyFont="1" applyFill="1" applyBorder="1" applyAlignment="1">
      <alignment horizontal="left" vertical="center" wrapText="1"/>
    </xf>
    <xf numFmtId="2" fontId="5" fillId="0" borderId="11" xfId="0" applyNumberFormat="1" applyFont="1" applyBorder="1" applyAlignment="1">
      <alignment horizontal="right" vertical="center" wrapText="1"/>
    </xf>
    <xf numFmtId="0" fontId="18" fillId="0" borderId="12" xfId="0" quotePrefix="1" applyFont="1" applyBorder="1" applyAlignment="1">
      <alignment vertical="center" wrapText="1"/>
    </xf>
    <xf numFmtId="9" fontId="19" fillId="2" borderId="11" xfId="0" quotePrefix="1" applyNumberFormat="1" applyFont="1" applyFill="1" applyBorder="1" applyAlignment="1">
      <alignment horizontal="center" vertical="center" wrapText="1"/>
    </xf>
    <xf numFmtId="43" fontId="19" fillId="0" borderId="11" xfId="0" applyNumberFormat="1" applyFont="1" applyBorder="1" applyAlignment="1">
      <alignment horizontal="right" vertical="center" wrapText="1"/>
    </xf>
    <xf numFmtId="9" fontId="10" fillId="5" borderId="12" xfId="0" applyNumberFormat="1" applyFont="1" applyFill="1" applyBorder="1" applyAlignment="1">
      <alignment horizontal="left" vertical="center" wrapText="1"/>
    </xf>
    <xf numFmtId="166" fontId="19" fillId="5" borderId="11" xfId="0" applyNumberFormat="1" applyFont="1" applyFill="1" applyBorder="1" applyAlignment="1">
      <alignment horizontal="right" vertical="center" wrapText="1"/>
    </xf>
    <xf numFmtId="0" fontId="23" fillId="2" borderId="11" xfId="0" applyFont="1" applyFill="1" applyBorder="1" applyAlignment="1">
      <alignment vertical="center" wrapText="1"/>
    </xf>
    <xf numFmtId="2" fontId="8" fillId="2" borderId="11" xfId="0" applyNumberFormat="1" applyFont="1" applyFill="1" applyBorder="1" applyAlignment="1">
      <alignment horizontal="right" vertical="center" wrapText="1"/>
    </xf>
    <xf numFmtId="10" fontId="19" fillId="2" borderId="11" xfId="0" applyNumberFormat="1" applyFont="1" applyFill="1" applyBorder="1" applyAlignment="1">
      <alignment horizontal="right" vertical="center" wrapText="1"/>
    </xf>
    <xf numFmtId="10" fontId="19" fillId="2" borderId="11" xfId="0" applyNumberFormat="1" applyFont="1" applyFill="1" applyBorder="1" applyAlignment="1">
      <alignment horizontal="center" vertical="center" wrapText="1"/>
    </xf>
    <xf numFmtId="10" fontId="19" fillId="2" borderId="12" xfId="0" applyNumberFormat="1" applyFont="1" applyFill="1" applyBorder="1" applyAlignment="1">
      <alignment horizontal="center" vertical="center" wrapText="1"/>
    </xf>
    <xf numFmtId="0" fontId="18" fillId="0" borderId="12" xfId="0" applyFont="1" applyBorder="1" applyAlignment="1">
      <alignment horizontal="right" vertical="center" wrapText="1"/>
    </xf>
    <xf numFmtId="0" fontId="19" fillId="2" borderId="11" xfId="0" quotePrefix="1" applyFont="1" applyFill="1" applyBorder="1" applyAlignment="1">
      <alignment horizontal="center" vertical="center" wrapText="1"/>
    </xf>
    <xf numFmtId="166" fontId="18" fillId="0" borderId="11" xfId="0" applyNumberFormat="1" applyFont="1" applyBorder="1" applyAlignment="1">
      <alignment horizontal="right" vertical="center" wrapText="1"/>
    </xf>
    <xf numFmtId="10" fontId="21" fillId="0" borderId="11" xfId="0" applyNumberFormat="1" applyFont="1" applyBorder="1" applyAlignment="1">
      <alignment horizontal="right" vertical="center" wrapText="1"/>
    </xf>
    <xf numFmtId="2" fontId="19" fillId="0" borderId="11" xfId="0" applyNumberFormat="1" applyFont="1" applyBorder="1" applyAlignment="1">
      <alignment horizontal="right" vertical="center" wrapText="1"/>
    </xf>
    <xf numFmtId="0" fontId="20" fillId="0" borderId="11" xfId="0" applyFont="1" applyBorder="1" applyAlignment="1">
      <alignment vertical="center"/>
    </xf>
    <xf numFmtId="0" fontId="22" fillId="0" borderId="11" xfId="0" applyFont="1" applyBorder="1" applyAlignment="1">
      <alignment vertical="center"/>
    </xf>
    <xf numFmtId="166" fontId="21" fillId="6" borderId="12" xfId="0" applyNumberFormat="1" applyFont="1" applyFill="1" applyBorder="1" applyAlignment="1">
      <alignment vertical="center"/>
    </xf>
    <xf numFmtId="2" fontId="21" fillId="0" borderId="11" xfId="0" applyNumberFormat="1" applyFont="1" applyBorder="1" applyAlignment="1">
      <alignment horizontal="right" vertical="center"/>
    </xf>
    <xf numFmtId="2" fontId="21" fillId="0" borderId="12" xfId="0" applyNumberFormat="1" applyFont="1" applyBorder="1" applyAlignment="1">
      <alignment horizontal="right" vertical="center"/>
    </xf>
    <xf numFmtId="0" fontId="18" fillId="0" borderId="11" xfId="0" applyFont="1" applyBorder="1" applyAlignment="1">
      <alignment vertical="center" wrapText="1"/>
    </xf>
    <xf numFmtId="9" fontId="10" fillId="2" borderId="18" xfId="0" applyNumberFormat="1" applyFont="1" applyFill="1" applyBorder="1" applyAlignment="1">
      <alignment horizontal="left" vertical="center" wrapText="1"/>
    </xf>
    <xf numFmtId="0" fontId="20" fillId="0" borderId="18" xfId="0" applyFont="1" applyBorder="1" applyAlignment="1">
      <alignment vertical="center"/>
    </xf>
    <xf numFmtId="0" fontId="7" fillId="0" borderId="18" xfId="0" applyFont="1" applyBorder="1" applyAlignment="1">
      <alignment vertical="center"/>
    </xf>
    <xf numFmtId="0" fontId="22" fillId="0" borderId="18" xfId="0" applyFont="1" applyBorder="1" applyAlignment="1">
      <alignment vertical="center"/>
    </xf>
    <xf numFmtId="0" fontId="21" fillId="0" borderId="18" xfId="0" applyFont="1" applyBorder="1" applyAlignment="1">
      <alignment vertical="center"/>
    </xf>
    <xf numFmtId="0" fontId="21" fillId="0" borderId="18" xfId="0" applyFont="1" applyBorder="1" applyAlignment="1">
      <alignment horizontal="right" vertical="center" wrapText="1"/>
    </xf>
    <xf numFmtId="0" fontId="21" fillId="0" borderId="18" xfId="0" applyFont="1" applyBorder="1" applyAlignment="1">
      <alignment horizontal="right" vertical="center"/>
    </xf>
    <xf numFmtId="0" fontId="21" fillId="0" borderId="30" xfId="0" applyFont="1" applyBorder="1" applyAlignment="1">
      <alignment horizontal="right" vertical="center"/>
    </xf>
    <xf numFmtId="0" fontId="18" fillId="0" borderId="18" xfId="0" applyFont="1" applyBorder="1" applyAlignment="1">
      <alignment vertical="center" wrapText="1"/>
    </xf>
    <xf numFmtId="0" fontId="7" fillId="5" borderId="33" xfId="0" applyFont="1" applyFill="1" applyBorder="1" applyAlignment="1">
      <alignment horizontal="left" vertical="center" wrapText="1"/>
    </xf>
    <xf numFmtId="9" fontId="25" fillId="2" borderId="0" xfId="0" applyNumberFormat="1" applyFont="1" applyFill="1" applyAlignment="1">
      <alignment horizontal="left" vertical="center" wrapText="1"/>
    </xf>
    <xf numFmtId="0" fontId="15" fillId="7" borderId="0" xfId="0" applyFont="1" applyFill="1" applyAlignment="1">
      <alignment horizontal="center" vertical="center" wrapText="1"/>
    </xf>
    <xf numFmtId="0" fontId="17" fillId="7" borderId="0" xfId="0" applyFont="1" applyFill="1" applyAlignment="1">
      <alignment horizontal="center" vertical="center" wrapText="1"/>
    </xf>
    <xf numFmtId="4" fontId="19" fillId="2" borderId="0" xfId="0" applyNumberFormat="1" applyFont="1" applyFill="1" applyAlignment="1">
      <alignment vertical="center"/>
    </xf>
    <xf numFmtId="9" fontId="19" fillId="0" borderId="0" xfId="2" applyFont="1" applyFill="1" applyAlignment="1">
      <alignment vertical="center"/>
    </xf>
    <xf numFmtId="0" fontId="28" fillId="0" borderId="34" xfId="0" applyFont="1" applyBorder="1" applyAlignment="1">
      <alignment vertical="center"/>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8" fillId="0" borderId="34" xfId="0" applyFont="1" applyBorder="1" applyAlignment="1">
      <alignment vertical="center"/>
    </xf>
    <xf numFmtId="0" fontId="7" fillId="0" borderId="12" xfId="0" applyFont="1" applyBorder="1" applyAlignment="1">
      <alignment vertical="center"/>
    </xf>
    <xf numFmtId="0" fontId="7" fillId="0" borderId="23" xfId="0" applyFont="1" applyBorder="1" applyAlignment="1">
      <alignment vertical="center"/>
    </xf>
    <xf numFmtId="165" fontId="0" fillId="0" borderId="2" xfId="1" applyNumberFormat="1" applyFont="1" applyBorder="1" applyAlignment="1">
      <alignment horizontal="center" vertical="center"/>
    </xf>
    <xf numFmtId="165" fontId="0" fillId="0" borderId="3" xfId="1" applyNumberFormat="1" applyFont="1" applyBorder="1" applyAlignment="1">
      <alignment horizontal="center" vertical="center"/>
    </xf>
    <xf numFmtId="165" fontId="0" fillId="0" borderId="4" xfId="1" applyNumberFormat="1" applyFont="1" applyBorder="1" applyAlignment="1">
      <alignment horizontal="center" vertical="center"/>
    </xf>
    <xf numFmtId="165" fontId="2" fillId="0" borderId="0" xfId="1" applyNumberFormat="1" applyFont="1" applyAlignment="1">
      <alignment horizontal="center" vertical="center"/>
    </xf>
    <xf numFmtId="165" fontId="2" fillId="0" borderId="1" xfId="1" applyNumberFormat="1"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11" xfId="0" applyFont="1" applyBorder="1" applyAlignment="1">
      <alignment vertical="center" wrapText="1"/>
    </xf>
    <xf numFmtId="0" fontId="8" fillId="2" borderId="1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5" fillId="0" borderId="12" xfId="0" applyFont="1" applyBorder="1" applyAlignment="1">
      <alignment vertical="center" wrapText="1"/>
    </xf>
    <xf numFmtId="0" fontId="8" fillId="0" borderId="10" xfId="0" applyFont="1" applyBorder="1" applyAlignment="1">
      <alignment horizontal="center" vertical="center" wrapText="1"/>
    </xf>
    <xf numFmtId="0" fontId="8" fillId="0" borderId="16" xfId="0" applyFont="1" applyBorder="1" applyAlignment="1">
      <alignment horizontal="center" vertical="center" wrapText="1"/>
    </xf>
    <xf numFmtId="166" fontId="10" fillId="0" borderId="11" xfId="0" applyNumberFormat="1" applyFont="1" applyBorder="1" applyAlignment="1">
      <alignment horizontal="righ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xf>
    <xf numFmtId="0" fontId="7" fillId="0" borderId="12" xfId="0" applyFont="1" applyBorder="1" applyAlignment="1">
      <alignment horizontal="center"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16" fillId="0" borderId="0" xfId="0" applyFont="1" applyAlignment="1">
      <alignment horizontal="center" vertical="center"/>
    </xf>
    <xf numFmtId="0" fontId="5" fillId="0" borderId="0" xfId="0" applyFont="1" applyAlignment="1">
      <alignment horizontal="center" vertical="center"/>
    </xf>
    <xf numFmtId="0" fontId="18" fillId="0" borderId="6"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1" xfId="0" applyFont="1" applyBorder="1" applyAlignment="1">
      <alignment vertical="center" wrapText="1"/>
    </xf>
    <xf numFmtId="0" fontId="19" fillId="0" borderId="11" xfId="0" applyFont="1" applyBorder="1" applyAlignment="1">
      <alignment horizontal="center" vertical="center" wrapText="1"/>
    </xf>
    <xf numFmtId="0" fontId="19" fillId="2" borderId="11"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18" fillId="0" borderId="11" xfId="0" applyFont="1" applyBorder="1" applyAlignment="1">
      <alignment horizontal="center" vertical="center" wrapText="1"/>
    </xf>
    <xf numFmtId="0" fontId="18" fillId="0" borderId="16" xfId="0" applyFont="1" applyBorder="1" applyAlignment="1">
      <alignment horizontal="center" vertical="center" wrapText="1"/>
    </xf>
    <xf numFmtId="166" fontId="21" fillId="0" borderId="11" xfId="0" applyNumberFormat="1" applyFont="1" applyBorder="1" applyAlignment="1">
      <alignment horizontal="right" vertical="center" wrapText="1"/>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3" xfId="0" applyFont="1" applyBorder="1" applyAlignment="1">
      <alignment horizontal="center" vertical="center"/>
    </xf>
    <xf numFmtId="0" fontId="19" fillId="0" borderId="0" xfId="0" applyFont="1" applyAlignment="1">
      <alignment horizontal="center" vertical="center"/>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21" fillId="0" borderId="30" xfId="0" applyFont="1" applyBorder="1" applyAlignment="1">
      <alignment horizontal="center" vertical="center"/>
    </xf>
    <xf numFmtId="0" fontId="21" fillId="0" borderId="32" xfId="0" applyFont="1" applyBorder="1" applyAlignment="1">
      <alignment horizontal="center" vertical="center"/>
    </xf>
    <xf numFmtId="0" fontId="21" fillId="0" borderId="31" xfId="0" applyFont="1" applyBorder="1" applyAlignment="1">
      <alignment horizontal="center" vertical="center"/>
    </xf>
    <xf numFmtId="9" fontId="25" fillId="2" borderId="2" xfId="0" applyNumberFormat="1" applyFont="1" applyFill="1" applyBorder="1" applyAlignment="1">
      <alignment horizontal="left" vertical="center" wrapText="1"/>
    </xf>
    <xf numFmtId="9" fontId="25" fillId="2" borderId="3" xfId="0" applyNumberFormat="1" applyFont="1" applyFill="1" applyBorder="1" applyAlignment="1">
      <alignment horizontal="left" vertical="center" wrapText="1"/>
    </xf>
    <xf numFmtId="9" fontId="25" fillId="2" borderId="4" xfId="0" applyNumberFormat="1" applyFont="1" applyFill="1" applyBorder="1" applyAlignment="1">
      <alignment horizontal="left" vertical="center" wrapText="1"/>
    </xf>
    <xf numFmtId="0" fontId="27" fillId="0" borderId="0" xfId="0" applyFont="1" applyAlignment="1">
      <alignment horizontal="center" vertical="center"/>
    </xf>
    <xf numFmtId="0" fontId="4" fillId="0" borderId="0" xfId="3" applyFont="1" applyAlignment="1">
      <alignment horizontal="center"/>
    </xf>
    <xf numFmtId="0" fontId="5" fillId="0" borderId="0" xfId="3" applyFont="1" applyAlignment="1"/>
    <xf numFmtId="0" fontId="6" fillId="0" borderId="0" xfId="3" applyFont="1" applyAlignment="1"/>
    <xf numFmtId="0" fontId="4" fillId="0" borderId="0" xfId="3" applyFont="1" applyAlignment="1">
      <alignment horizontal="center" vertical="center"/>
    </xf>
    <xf numFmtId="0" fontId="7" fillId="0" borderId="0" xfId="3" applyFont="1" applyAlignment="1">
      <alignment horizontal="center"/>
    </xf>
    <xf numFmtId="0" fontId="7" fillId="0" borderId="0" xfId="3" applyFont="1" applyAlignment="1">
      <alignment horizontal="center"/>
    </xf>
    <xf numFmtId="0" fontId="5" fillId="0" borderId="0" xfId="3" applyFont="1" applyAlignment="1">
      <alignment wrapText="1"/>
    </xf>
    <xf numFmtId="0" fontId="8" fillId="0" borderId="5" xfId="3" applyFont="1" applyBorder="1" applyAlignment="1">
      <alignment horizontal="center" vertical="center" wrapText="1"/>
    </xf>
    <xf numFmtId="0" fontId="8" fillId="0" borderId="6" xfId="3" applyFont="1" applyBorder="1" applyAlignment="1">
      <alignment horizontal="center" vertical="center" wrapText="1"/>
    </xf>
    <xf numFmtId="0" fontId="8" fillId="0" borderId="6" xfId="3" applyFont="1" applyBorder="1" applyAlignment="1">
      <alignment horizontal="center" vertical="center" wrapText="1"/>
    </xf>
    <xf numFmtId="0" fontId="8" fillId="0" borderId="7" xfId="3" applyFont="1" applyBorder="1" applyAlignment="1">
      <alignment horizontal="center" vertical="center" wrapText="1"/>
    </xf>
    <xf numFmtId="0" fontId="8" fillId="0" borderId="8" xfId="3" applyFont="1" applyBorder="1" applyAlignment="1">
      <alignment horizontal="center" vertical="center" wrapText="1"/>
    </xf>
    <xf numFmtId="0" fontId="8" fillId="0" borderId="9" xfId="3" applyFont="1" applyBorder="1" applyAlignment="1">
      <alignment horizontal="center" vertical="center" wrapText="1"/>
    </xf>
    <xf numFmtId="0" fontId="8" fillId="0" borderId="10" xfId="3" applyFont="1" applyBorder="1" applyAlignment="1">
      <alignment wrapText="1"/>
    </xf>
    <xf numFmtId="0" fontId="8" fillId="0" borderId="11" xfId="3" applyFont="1" applyBorder="1" applyAlignment="1">
      <alignment wrapText="1"/>
    </xf>
    <xf numFmtId="0" fontId="5" fillId="0" borderId="11" xfId="3" applyFont="1" applyBorder="1" applyAlignment="1">
      <alignment wrapText="1"/>
    </xf>
    <xf numFmtId="0" fontId="8" fillId="0" borderId="11" xfId="3" applyFont="1" applyBorder="1" applyAlignment="1">
      <alignment horizontal="center" wrapText="1"/>
    </xf>
    <xf numFmtId="0" fontId="8" fillId="0" borderId="12" xfId="3" applyFont="1" applyBorder="1" applyAlignment="1">
      <alignment horizontal="center" wrapText="1"/>
    </xf>
    <xf numFmtId="0" fontId="8" fillId="0" borderId="13" xfId="3" applyFont="1" applyBorder="1" applyAlignment="1">
      <alignment horizontal="center" wrapText="1"/>
    </xf>
    <xf numFmtId="0" fontId="5" fillId="0" borderId="11" xfId="3" applyFont="1" applyBorder="1" applyAlignment="1">
      <alignment wrapText="1"/>
    </xf>
    <xf numFmtId="0" fontId="8" fillId="2" borderId="11" xfId="3" applyFont="1" applyFill="1" applyBorder="1" applyAlignment="1">
      <alignment horizontal="center" wrapText="1"/>
    </xf>
    <xf numFmtId="0" fontId="5" fillId="0" borderId="12" xfId="3" applyFont="1" applyBorder="1" applyAlignment="1">
      <alignment wrapText="1"/>
    </xf>
    <xf numFmtId="0" fontId="5" fillId="0" borderId="14" xfId="3" applyFont="1" applyBorder="1" applyAlignment="1">
      <alignment wrapText="1"/>
    </xf>
    <xf numFmtId="0" fontId="5" fillId="0" borderId="15" xfId="3" applyFont="1" applyBorder="1" applyAlignment="1">
      <alignment vertical="top" wrapText="1"/>
    </xf>
    <xf numFmtId="0" fontId="8" fillId="0" borderId="10"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11" xfId="3" applyFont="1" applyBorder="1" applyAlignment="1">
      <alignment horizontal="center" vertical="top" wrapText="1"/>
    </xf>
    <xf numFmtId="0" fontId="8" fillId="0" borderId="14" xfId="3" applyFont="1" applyBorder="1" applyAlignment="1">
      <alignment horizontal="center" wrapText="1"/>
    </xf>
    <xf numFmtId="0" fontId="8" fillId="0" borderId="15" xfId="3" applyFont="1" applyBorder="1" applyAlignment="1">
      <alignment horizontal="center" vertical="top" wrapText="1"/>
    </xf>
    <xf numFmtId="0" fontId="9" fillId="0" borderId="11" xfId="3" applyFont="1" applyBorder="1" applyAlignment="1">
      <alignment horizontal="center" wrapText="1"/>
    </xf>
    <xf numFmtId="0" fontId="9" fillId="2" borderId="11" xfId="3" applyFont="1" applyFill="1" applyBorder="1" applyAlignment="1">
      <alignment horizontal="center" wrapText="1"/>
    </xf>
    <xf numFmtId="0" fontId="9" fillId="0" borderId="12" xfId="3" applyFont="1" applyBorder="1" applyAlignment="1">
      <alignment horizontal="center" wrapText="1"/>
    </xf>
    <xf numFmtId="0" fontId="5" fillId="0" borderId="14" xfId="3" applyFont="1" applyBorder="1" applyAlignment="1">
      <alignment horizontal="left" vertical="top" wrapText="1"/>
    </xf>
    <xf numFmtId="0" fontId="5" fillId="0" borderId="15" xfId="3" applyFont="1" applyBorder="1" applyAlignment="1">
      <alignment horizontal="left" vertical="top" wrapText="1"/>
    </xf>
    <xf numFmtId="0" fontId="8" fillId="0" borderId="10" xfId="3" applyFont="1" applyBorder="1" applyAlignment="1">
      <alignment horizontal="center" vertical="center" wrapText="1"/>
    </xf>
    <xf numFmtId="9" fontId="8" fillId="0" borderId="11" xfId="3" applyNumberFormat="1" applyFont="1" applyBorder="1" applyAlignment="1">
      <alignment horizontal="left" vertical="center" wrapText="1"/>
    </xf>
    <xf numFmtId="0" fontId="10" fillId="0" borderId="11" xfId="3" applyFont="1" applyBorder="1" applyAlignment="1">
      <alignment horizontal="left" vertical="top" wrapText="1"/>
    </xf>
    <xf numFmtId="0" fontId="8" fillId="0" borderId="11" xfId="3" applyFont="1" applyBorder="1" applyAlignment="1">
      <alignment horizontal="left" vertical="center" wrapText="1"/>
    </xf>
    <xf numFmtId="2" fontId="8" fillId="0" borderId="11" xfId="3" applyNumberFormat="1" applyFont="1" applyBorder="1" applyAlignment="1">
      <alignment horizontal="right" vertical="center" wrapText="1"/>
    </xf>
    <xf numFmtId="166" fontId="8" fillId="0" borderId="11" xfId="3" applyNumberFormat="1" applyFont="1" applyBorder="1" applyAlignment="1">
      <alignment horizontal="right" vertical="center" wrapText="1"/>
    </xf>
    <xf numFmtId="0" fontId="8" fillId="0" borderId="11" xfId="3" applyFont="1" applyBorder="1" applyAlignment="1">
      <alignment horizontal="right" vertical="center" wrapText="1"/>
    </xf>
    <xf numFmtId="166" fontId="8" fillId="0" borderId="11" xfId="3" applyNumberFormat="1" applyFont="1" applyBorder="1" applyAlignment="1">
      <alignment horizontal="center" vertical="center" wrapText="1"/>
    </xf>
    <xf numFmtId="10" fontId="8" fillId="0" borderId="11" xfId="3" applyNumberFormat="1" applyFont="1" applyBorder="1" applyAlignment="1">
      <alignment horizontal="right" vertical="center" wrapText="1"/>
    </xf>
    <xf numFmtId="10" fontId="8" fillId="0" borderId="11" xfId="3" applyNumberFormat="1" applyFont="1" applyBorder="1" applyAlignment="1">
      <alignment horizontal="center" vertical="center" wrapText="1"/>
    </xf>
    <xf numFmtId="10" fontId="8" fillId="0" borderId="12" xfId="3" applyNumberFormat="1" applyFont="1" applyBorder="1" applyAlignment="1">
      <alignment horizontal="center" vertical="center" wrapText="1"/>
    </xf>
    <xf numFmtId="0" fontId="8" fillId="9" borderId="10" xfId="3" applyFont="1" applyFill="1" applyBorder="1" applyAlignment="1">
      <alignment horizontal="center" vertical="center" wrapText="1"/>
    </xf>
    <xf numFmtId="9" fontId="8" fillId="9" borderId="11" xfId="3" applyNumberFormat="1" applyFont="1" applyFill="1" applyBorder="1" applyAlignment="1">
      <alignment horizontal="left" vertical="center" wrapText="1"/>
    </xf>
    <xf numFmtId="0" fontId="10" fillId="9" borderId="11" xfId="3" applyFont="1" applyFill="1" applyBorder="1" applyAlignment="1">
      <alignment horizontal="left" vertical="top" wrapText="1"/>
    </xf>
    <xf numFmtId="0" fontId="8" fillId="9" borderId="11" xfId="3" applyFont="1" applyFill="1" applyBorder="1" applyAlignment="1">
      <alignment horizontal="left" vertical="center" wrapText="1"/>
    </xf>
    <xf numFmtId="2" fontId="8" fillId="9" borderId="11" xfId="3" applyNumberFormat="1" applyFont="1" applyFill="1" applyBorder="1" applyAlignment="1">
      <alignment horizontal="right" vertical="center" wrapText="1"/>
    </xf>
    <xf numFmtId="166" fontId="8" fillId="9" borderId="11" xfId="3" applyNumberFormat="1" applyFont="1" applyFill="1" applyBorder="1" applyAlignment="1">
      <alignment horizontal="right" vertical="center" wrapText="1"/>
    </xf>
    <xf numFmtId="0" fontId="8" fillId="9" borderId="11" xfId="3" applyFont="1" applyFill="1" applyBorder="1" applyAlignment="1">
      <alignment horizontal="right" vertical="center" wrapText="1"/>
    </xf>
    <xf numFmtId="166" fontId="10" fillId="9" borderId="11" xfId="3" applyNumberFormat="1" applyFont="1" applyFill="1" applyBorder="1" applyAlignment="1">
      <alignment horizontal="right" vertical="center" wrapText="1"/>
    </xf>
    <xf numFmtId="166" fontId="8" fillId="9" borderId="11" xfId="3" applyNumberFormat="1" applyFont="1" applyFill="1" applyBorder="1" applyAlignment="1">
      <alignment horizontal="center" vertical="center" wrapText="1"/>
    </xf>
    <xf numFmtId="166" fontId="10" fillId="9" borderId="11" xfId="3" applyNumberFormat="1" applyFont="1" applyFill="1" applyBorder="1" applyAlignment="1">
      <alignment horizontal="center" vertical="center" wrapText="1"/>
    </xf>
    <xf numFmtId="10" fontId="10" fillId="9" borderId="11" xfId="3" applyNumberFormat="1" applyFont="1" applyFill="1" applyBorder="1" applyAlignment="1">
      <alignment horizontal="right" vertical="center" wrapText="1"/>
    </xf>
    <xf numFmtId="2" fontId="10" fillId="9" borderId="11" xfId="3" applyNumberFormat="1" applyFont="1" applyFill="1" applyBorder="1" applyAlignment="1">
      <alignment horizontal="right" vertical="center" wrapText="1"/>
    </xf>
    <xf numFmtId="10" fontId="10" fillId="9" borderId="11" xfId="3" applyNumberFormat="1" applyFont="1" applyFill="1" applyBorder="1" applyAlignment="1">
      <alignment horizontal="center" vertical="center" wrapText="1"/>
    </xf>
    <xf numFmtId="10" fontId="10" fillId="9" borderId="12" xfId="3" applyNumberFormat="1" applyFont="1" applyFill="1" applyBorder="1" applyAlignment="1">
      <alignment horizontal="center" vertical="center" wrapText="1"/>
    </xf>
    <xf numFmtId="0" fontId="7" fillId="0" borderId="14" xfId="3" applyFont="1" applyBorder="1" applyAlignment="1">
      <alignment horizontal="left" vertical="center" wrapText="1" indent="1"/>
    </xf>
    <xf numFmtId="0" fontId="8" fillId="5" borderId="10" xfId="3" applyFont="1" applyFill="1" applyBorder="1" applyAlignment="1">
      <alignment horizontal="center" vertical="center" wrapText="1"/>
    </xf>
    <xf numFmtId="9" fontId="8" fillId="5" borderId="11" xfId="3" applyNumberFormat="1" applyFont="1" applyFill="1" applyBorder="1" applyAlignment="1">
      <alignment horizontal="left" vertical="center" wrapText="1"/>
    </xf>
    <xf numFmtId="0" fontId="10" fillId="5" borderId="11" xfId="3" applyFont="1" applyFill="1" applyBorder="1" applyAlignment="1">
      <alignment horizontal="left" vertical="top" wrapText="1"/>
    </xf>
    <xf numFmtId="0" fontId="8" fillId="5" borderId="11" xfId="3" applyFont="1" applyFill="1" applyBorder="1" applyAlignment="1">
      <alignment horizontal="left" vertical="center" wrapText="1"/>
    </xf>
    <xf numFmtId="2" fontId="8" fillId="5" borderId="11" xfId="3" applyNumberFormat="1" applyFont="1" applyFill="1" applyBorder="1" applyAlignment="1">
      <alignment horizontal="right" vertical="center" wrapText="1"/>
    </xf>
    <xf numFmtId="166" fontId="8" fillId="5" borderId="11" xfId="3" applyNumberFormat="1" applyFont="1" applyFill="1" applyBorder="1" applyAlignment="1">
      <alignment horizontal="right" vertical="center" wrapText="1"/>
    </xf>
    <xf numFmtId="0" fontId="8" fillId="5" borderId="11" xfId="3" applyFont="1" applyFill="1" applyBorder="1" applyAlignment="1">
      <alignment horizontal="right" vertical="center" wrapText="1"/>
    </xf>
    <xf numFmtId="166" fontId="10" fillId="5" borderId="11" xfId="3" applyNumberFormat="1" applyFont="1" applyFill="1" applyBorder="1" applyAlignment="1">
      <alignment horizontal="right" vertical="center" wrapText="1"/>
    </xf>
    <xf numFmtId="166" fontId="8" fillId="5" borderId="11" xfId="3" applyNumberFormat="1" applyFont="1" applyFill="1" applyBorder="1" applyAlignment="1">
      <alignment horizontal="center" vertical="center" wrapText="1"/>
    </xf>
    <xf numFmtId="166" fontId="10" fillId="5" borderId="11" xfId="3" applyNumberFormat="1" applyFont="1" applyFill="1" applyBorder="1" applyAlignment="1">
      <alignment horizontal="center" vertical="center" wrapText="1"/>
    </xf>
    <xf numFmtId="10" fontId="8" fillId="5" borderId="11" xfId="3" applyNumberFormat="1" applyFont="1" applyFill="1" applyBorder="1" applyAlignment="1">
      <alignment horizontal="right" vertical="center" wrapText="1"/>
    </xf>
    <xf numFmtId="10" fontId="10" fillId="5" borderId="11" xfId="3" applyNumberFormat="1" applyFont="1" applyFill="1" applyBorder="1" applyAlignment="1">
      <alignment horizontal="right" vertical="center" wrapText="1"/>
    </xf>
    <xf numFmtId="2" fontId="10" fillId="5" borderId="11" xfId="3" applyNumberFormat="1" applyFont="1" applyFill="1" applyBorder="1" applyAlignment="1">
      <alignment horizontal="right" vertical="center" wrapText="1"/>
    </xf>
    <xf numFmtId="10" fontId="10" fillId="5" borderId="11" xfId="3" applyNumberFormat="1" applyFont="1" applyFill="1" applyBorder="1" applyAlignment="1">
      <alignment horizontal="center" vertical="center" wrapText="1"/>
    </xf>
    <xf numFmtId="10" fontId="10" fillId="5" borderId="12" xfId="3" applyNumberFormat="1" applyFont="1" applyFill="1" applyBorder="1" applyAlignment="1">
      <alignment horizontal="center" vertical="center" wrapText="1"/>
    </xf>
    <xf numFmtId="0" fontId="7" fillId="0" borderId="11" xfId="3" applyFont="1" applyBorder="1" applyAlignment="1">
      <alignment horizontal="left" vertical="top" wrapText="1"/>
    </xf>
    <xf numFmtId="0" fontId="8" fillId="0" borderId="0" xfId="3" applyFont="1" applyAlignment="1">
      <alignment vertical="center" wrapText="1"/>
    </xf>
    <xf numFmtId="0" fontId="8" fillId="0" borderId="0" xfId="3" applyFont="1" applyAlignment="1">
      <alignment horizontal="left" wrapText="1"/>
    </xf>
    <xf numFmtId="2" fontId="8" fillId="0" borderId="11" xfId="3" applyNumberFormat="1" applyFont="1" applyBorder="1" applyAlignment="1">
      <alignment horizontal="right" vertical="center" wrapText="1"/>
    </xf>
    <xf numFmtId="166" fontId="8" fillId="0" borderId="11" xfId="3" applyNumberFormat="1" applyFont="1" applyBorder="1" applyAlignment="1">
      <alignment horizontal="right" vertical="center" wrapText="1"/>
    </xf>
    <xf numFmtId="0" fontId="8" fillId="0" borderId="12" xfId="3" applyFont="1" applyBorder="1" applyAlignment="1">
      <alignment vertical="center" wrapText="1"/>
    </xf>
    <xf numFmtId="166" fontId="8" fillId="0" borderId="11" xfId="3" applyNumberFormat="1" applyFont="1" applyBorder="1" applyAlignment="1">
      <alignment horizontal="center" vertical="center" wrapText="1"/>
    </xf>
    <xf numFmtId="166" fontId="8" fillId="2" borderId="11" xfId="3" applyNumberFormat="1" applyFont="1" applyFill="1" applyBorder="1" applyAlignment="1">
      <alignment horizontal="center" vertical="center" wrapText="1"/>
    </xf>
    <xf numFmtId="10" fontId="8" fillId="0" borderId="11" xfId="3" applyNumberFormat="1" applyFont="1" applyBorder="1" applyAlignment="1">
      <alignment horizontal="right" vertical="center" wrapText="1"/>
    </xf>
    <xf numFmtId="10" fontId="8" fillId="0" borderId="11" xfId="3" applyNumberFormat="1" applyFont="1" applyBorder="1" applyAlignment="1">
      <alignment horizontal="center" vertical="center" wrapText="1"/>
    </xf>
    <xf numFmtId="10" fontId="8" fillId="0" borderId="12" xfId="3" applyNumberFormat="1" applyFont="1" applyBorder="1" applyAlignment="1">
      <alignment horizontal="center" vertical="center" wrapText="1"/>
    </xf>
    <xf numFmtId="0" fontId="5" fillId="0" borderId="11" xfId="3" applyFont="1" applyBorder="1" applyAlignment="1">
      <alignment horizontal="left" vertical="top" wrapText="1"/>
    </xf>
    <xf numFmtId="0" fontId="8" fillId="0" borderId="11" xfId="3" applyFont="1" applyBorder="1" applyAlignment="1">
      <alignment horizontal="left" vertical="top" wrapText="1"/>
    </xf>
    <xf numFmtId="0" fontId="8" fillId="0" borderId="11" xfId="3" applyFont="1" applyBorder="1" applyAlignment="1">
      <alignment horizontal="left" vertical="center" wrapText="1"/>
    </xf>
    <xf numFmtId="166" fontId="8" fillId="2" borderId="11" xfId="3" applyNumberFormat="1" applyFont="1" applyFill="1" applyBorder="1" applyAlignment="1">
      <alignment horizontal="right" vertical="center" wrapText="1"/>
    </xf>
    <xf numFmtId="0" fontId="8" fillId="0" borderId="11" xfId="3" applyFont="1" applyBorder="1" applyAlignment="1">
      <alignment horizontal="right" vertical="center" wrapText="1"/>
    </xf>
    <xf numFmtId="0" fontId="8" fillId="2" borderId="10" xfId="3" applyFont="1" applyFill="1" applyBorder="1" applyAlignment="1">
      <alignment horizontal="center" vertical="center" wrapText="1"/>
    </xf>
    <xf numFmtId="9" fontId="8" fillId="2" borderId="11" xfId="3" applyNumberFormat="1" applyFont="1" applyFill="1" applyBorder="1" applyAlignment="1">
      <alignment horizontal="left" vertical="center" wrapText="1"/>
    </xf>
    <xf numFmtId="0" fontId="8" fillId="2" borderId="11" xfId="3" applyFont="1" applyFill="1" applyBorder="1" applyAlignment="1">
      <alignment horizontal="left" vertical="top" wrapText="1"/>
    </xf>
    <xf numFmtId="0" fontId="8" fillId="2" borderId="11" xfId="3" applyFont="1" applyFill="1" applyBorder="1" applyAlignment="1">
      <alignment horizontal="left" vertical="center" wrapText="1"/>
    </xf>
    <xf numFmtId="0" fontId="8" fillId="2" borderId="11" xfId="3" applyFont="1" applyFill="1" applyBorder="1" applyAlignment="1">
      <alignment horizontal="right" vertical="center" wrapText="1"/>
    </xf>
    <xf numFmtId="166" fontId="10" fillId="2" borderId="11" xfId="3" applyNumberFormat="1" applyFont="1" applyFill="1" applyBorder="1" applyAlignment="1">
      <alignment horizontal="right" vertical="center" wrapText="1"/>
    </xf>
    <xf numFmtId="10" fontId="10" fillId="2" borderId="11" xfId="3" applyNumberFormat="1" applyFont="1" applyFill="1" applyBorder="1" applyAlignment="1">
      <alignment horizontal="right" vertical="center" wrapText="1"/>
    </xf>
    <xf numFmtId="2" fontId="10" fillId="2" borderId="11" xfId="3" applyNumberFormat="1" applyFont="1" applyFill="1" applyBorder="1" applyAlignment="1">
      <alignment horizontal="right" vertical="center" wrapText="1"/>
    </xf>
    <xf numFmtId="10" fontId="10" fillId="2" borderId="11" xfId="3" applyNumberFormat="1" applyFont="1" applyFill="1" applyBorder="1" applyAlignment="1">
      <alignment horizontal="center" vertical="center" wrapText="1"/>
    </xf>
    <xf numFmtId="10" fontId="10" fillId="2" borderId="12" xfId="3" applyNumberFormat="1" applyFont="1" applyFill="1" applyBorder="1" applyAlignment="1">
      <alignment horizontal="center" vertical="center" wrapText="1"/>
    </xf>
    <xf numFmtId="0" fontId="7" fillId="2" borderId="11" xfId="3" applyFont="1" applyFill="1" applyBorder="1" applyAlignment="1">
      <alignment horizontal="left" vertical="top" wrapText="1"/>
    </xf>
    <xf numFmtId="0" fontId="5" fillId="2" borderId="15" xfId="3" applyFont="1" applyFill="1" applyBorder="1" applyAlignment="1">
      <alignment horizontal="left" vertical="top" wrapText="1"/>
    </xf>
    <xf numFmtId="0" fontId="5" fillId="2" borderId="0" xfId="3" applyFont="1" applyFill="1" applyAlignment="1"/>
    <xf numFmtId="0" fontId="6" fillId="2" borderId="0" xfId="3" applyFont="1" applyFill="1" applyAlignment="1"/>
    <xf numFmtId="0" fontId="8" fillId="5" borderId="12" xfId="3" applyFont="1" applyFill="1" applyBorder="1" applyAlignment="1">
      <alignment vertical="center" wrapText="1"/>
    </xf>
    <xf numFmtId="10" fontId="8" fillId="5" borderId="11" xfId="3" applyNumberFormat="1" applyFont="1" applyFill="1" applyBorder="1" applyAlignment="1">
      <alignment horizontal="center" vertical="center" wrapText="1"/>
    </xf>
    <xf numFmtId="10" fontId="8" fillId="5" borderId="12" xfId="3" applyNumberFormat="1" applyFont="1" applyFill="1" applyBorder="1" applyAlignment="1">
      <alignment horizontal="center" vertical="center" wrapText="1"/>
    </xf>
    <xf numFmtId="0" fontId="5" fillId="5" borderId="11" xfId="3" applyFont="1" applyFill="1" applyBorder="1" applyAlignment="1">
      <alignment horizontal="left" vertical="top" wrapText="1"/>
    </xf>
    <xf numFmtId="0" fontId="5" fillId="5" borderId="15" xfId="3" applyFont="1" applyFill="1" applyBorder="1" applyAlignment="1">
      <alignment horizontal="left" vertical="top" wrapText="1"/>
    </xf>
    <xf numFmtId="0" fontId="5" fillId="5" borderId="0" xfId="3" applyFont="1" applyFill="1" applyAlignment="1"/>
    <xf numFmtId="0" fontId="6" fillId="5" borderId="0" xfId="3" applyFont="1" applyFill="1" applyAlignment="1"/>
    <xf numFmtId="0" fontId="8" fillId="0" borderId="18" xfId="3" applyFont="1" applyBorder="1" applyAlignment="1">
      <alignment horizontal="right" vertical="center" wrapText="1"/>
    </xf>
    <xf numFmtId="0" fontId="8" fillId="5" borderId="18" xfId="3" applyFont="1" applyFill="1" applyBorder="1" applyAlignment="1">
      <alignment horizontal="right" vertical="center" wrapText="1"/>
    </xf>
    <xf numFmtId="0" fontId="11" fillId="2" borderId="12" xfId="3" applyFont="1" applyFill="1" applyBorder="1" applyAlignment="1">
      <alignment vertical="center" wrapText="1"/>
    </xf>
    <xf numFmtId="0" fontId="11" fillId="0" borderId="11" xfId="3" applyFont="1" applyBorder="1" applyAlignment="1">
      <alignment vertical="center" wrapText="1"/>
    </xf>
    <xf numFmtId="166" fontId="8" fillId="0" borderId="12" xfId="3" applyNumberFormat="1" applyFont="1" applyBorder="1" applyAlignment="1">
      <alignment horizontal="right" vertical="center" wrapText="1"/>
    </xf>
    <xf numFmtId="0" fontId="8" fillId="0" borderId="35" xfId="3" applyFont="1" applyBorder="1" applyAlignment="1">
      <alignment vertical="center" wrapText="1"/>
    </xf>
    <xf numFmtId="0" fontId="8" fillId="0" borderId="36" xfId="3" applyFont="1" applyBorder="1" applyAlignment="1">
      <alignment vertical="center" wrapText="1"/>
    </xf>
    <xf numFmtId="0" fontId="8" fillId="0" borderId="36" xfId="3" quotePrefix="1" applyFont="1" applyBorder="1" applyAlignment="1">
      <alignment vertical="center" wrapText="1"/>
    </xf>
    <xf numFmtId="0" fontId="8" fillId="0" borderId="37" xfId="3" applyFont="1" applyBorder="1" applyAlignment="1">
      <alignment vertical="center" wrapText="1"/>
    </xf>
    <xf numFmtId="0" fontId="8" fillId="0" borderId="12" xfId="3" applyFont="1" applyBorder="1" applyAlignment="1">
      <alignment horizontal="right" vertical="center" wrapText="1"/>
    </xf>
    <xf numFmtId="0" fontId="8" fillId="0" borderId="27" xfId="3" applyFont="1" applyBorder="1" applyAlignment="1">
      <alignment horizontal="right" vertical="center" wrapText="1"/>
    </xf>
    <xf numFmtId="166" fontId="10" fillId="0" borderId="11" xfId="3" applyNumberFormat="1" applyFont="1" applyBorder="1" applyAlignment="1">
      <alignment horizontal="right" vertical="center" wrapText="1"/>
    </xf>
    <xf numFmtId="10" fontId="10" fillId="0" borderId="11" xfId="3" applyNumberFormat="1" applyFont="1" applyBorder="1" applyAlignment="1">
      <alignment horizontal="right" vertical="center" wrapText="1"/>
    </xf>
    <xf numFmtId="0" fontId="7" fillId="0" borderId="10" xfId="3" applyFont="1" applyBorder="1" applyAlignment="1"/>
    <xf numFmtId="0" fontId="7" fillId="0" borderId="11" xfId="3" applyFont="1" applyBorder="1" applyAlignment="1"/>
    <xf numFmtId="166" fontId="7" fillId="10" borderId="12" xfId="3" applyNumberFormat="1" applyFont="1" applyFill="1" applyBorder="1" applyAlignment="1">
      <alignment horizontal="center"/>
    </xf>
    <xf numFmtId="166" fontId="7" fillId="10" borderId="13" xfId="3" applyNumberFormat="1" applyFont="1" applyFill="1" applyBorder="1" applyAlignment="1">
      <alignment horizontal="center"/>
    </xf>
    <xf numFmtId="0" fontId="7" fillId="0" borderId="12" xfId="3" applyFont="1" applyBorder="1" applyAlignment="1">
      <alignment horizontal="center"/>
    </xf>
    <xf numFmtId="0" fontId="7" fillId="0" borderId="16" xfId="3" applyFont="1" applyBorder="1" applyAlignment="1">
      <alignment horizontal="center"/>
    </xf>
    <xf numFmtId="0" fontId="7" fillId="0" borderId="13" xfId="3" applyFont="1" applyBorder="1" applyAlignment="1">
      <alignment horizontal="center"/>
    </xf>
    <xf numFmtId="10" fontId="7" fillId="0" borderId="11" xfId="3" applyNumberFormat="1" applyFont="1" applyBorder="1" applyAlignment="1">
      <alignment horizontal="right" wrapText="1"/>
    </xf>
    <xf numFmtId="2" fontId="7" fillId="0" borderId="11" xfId="3" applyNumberFormat="1" applyFont="1" applyBorder="1" applyAlignment="1">
      <alignment horizontal="right"/>
    </xf>
    <xf numFmtId="2" fontId="7" fillId="0" borderId="12" xfId="3" applyNumberFormat="1" applyFont="1" applyBorder="1" applyAlignment="1">
      <alignment horizontal="right"/>
    </xf>
    <xf numFmtId="0" fontId="14" fillId="0" borderId="11" xfId="3" applyFont="1" applyBorder="1" applyAlignment="1">
      <alignment wrapText="1"/>
    </xf>
    <xf numFmtId="0" fontId="7" fillId="0" borderId="21" xfId="3" applyFont="1" applyBorder="1" applyAlignment="1"/>
    <xf numFmtId="0" fontId="7" fillId="0" borderId="22" xfId="3" applyFont="1" applyBorder="1" applyAlignment="1"/>
    <xf numFmtId="0" fontId="7" fillId="0" borderId="23" xfId="3" applyFont="1" applyBorder="1" applyAlignment="1">
      <alignment horizontal="center" vertical="center"/>
    </xf>
    <xf numFmtId="0" fontId="7" fillId="0" borderId="25" xfId="3" applyFont="1" applyBorder="1" applyAlignment="1">
      <alignment horizontal="center" vertical="center"/>
    </xf>
    <xf numFmtId="0" fontId="7" fillId="0" borderId="24" xfId="3" applyFont="1" applyBorder="1" applyAlignment="1">
      <alignment horizontal="center" vertical="center"/>
    </xf>
    <xf numFmtId="0" fontId="7" fillId="0" borderId="22" xfId="3" applyFont="1" applyBorder="1" applyAlignment="1">
      <alignment horizontal="right" vertical="center" wrapText="1"/>
    </xf>
    <xf numFmtId="0" fontId="7" fillId="0" borderId="22" xfId="3" applyFont="1" applyBorder="1" applyAlignment="1">
      <alignment horizontal="right"/>
    </xf>
    <xf numFmtId="0" fontId="7" fillId="0" borderId="23" xfId="3" applyFont="1" applyBorder="1" applyAlignment="1">
      <alignment horizontal="right"/>
    </xf>
    <xf numFmtId="0" fontId="5" fillId="0" borderId="22" xfId="3" applyFont="1" applyBorder="1" applyAlignment="1">
      <alignment wrapText="1"/>
    </xf>
    <xf numFmtId="0" fontId="5" fillId="0" borderId="26" xfId="3" applyFont="1" applyBorder="1" applyAlignment="1">
      <alignment vertical="top" wrapText="1"/>
    </xf>
    <xf numFmtId="0" fontId="15" fillId="7" borderId="11" xfId="3" applyFont="1" applyFill="1" applyBorder="1" applyAlignment="1">
      <alignment horizontal="center" vertical="center" wrapText="1"/>
    </xf>
    <xf numFmtId="9" fontId="5" fillId="0" borderId="0" xfId="4" applyFont="1" applyAlignment="1" applyProtection="1"/>
    <xf numFmtId="0" fontId="16" fillId="0" borderId="0" xfId="3" applyFont="1" applyAlignment="1">
      <alignment horizontal="center"/>
    </xf>
    <xf numFmtId="0" fontId="15" fillId="0" borderId="11" xfId="3" applyFont="1" applyBorder="1" applyAlignment="1">
      <alignment horizontal="center" vertical="center" wrapText="1"/>
    </xf>
    <xf numFmtId="0" fontId="17" fillId="0" borderId="0" xfId="3" applyFont="1" applyAlignment="1"/>
    <xf numFmtId="0" fontId="5" fillId="0" borderId="0" xfId="3" applyFont="1" applyAlignment="1">
      <alignment horizontal="center" vertical="center"/>
    </xf>
    <xf numFmtId="0" fontId="17" fillId="0" borderId="0" xfId="3" applyFont="1" applyAlignment="1">
      <alignment horizontal="center"/>
    </xf>
    <xf numFmtId="0" fontId="17" fillId="0" borderId="0" xfId="3" applyFont="1" applyAlignment="1">
      <alignment horizontal="center" vertical="center"/>
    </xf>
    <xf numFmtId="0" fontId="17" fillId="0" borderId="11" xfId="3" applyFont="1" applyBorder="1" applyAlignment="1">
      <alignment horizontal="center" vertical="center" wrapText="1"/>
    </xf>
    <xf numFmtId="166" fontId="5" fillId="0" borderId="0" xfId="3" applyNumberFormat="1" applyFont="1" applyAlignment="1"/>
    <xf numFmtId="0" fontId="31" fillId="0" borderId="0" xfId="3">
      <alignment vertical="center"/>
    </xf>
  </cellXfs>
  <cellStyles count="5">
    <cellStyle name="Comma [0]" xfId="1" builtinId="6"/>
    <cellStyle name="Normal" xfId="0" builtinId="0"/>
    <cellStyle name="Normal 2" xfId="3"/>
    <cellStyle name="Percent" xfId="2" builtin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2"/>
  <sheetViews>
    <sheetView zoomScaleNormal="100" workbookViewId="0">
      <selection activeCell="J13" sqref="J13"/>
    </sheetView>
  </sheetViews>
  <sheetFormatPr defaultRowHeight="15" x14ac:dyDescent="0.25"/>
  <cols>
    <col min="1" max="1" width="23.7109375" style="4" customWidth="1"/>
    <col min="2" max="2" width="34.7109375" style="2" customWidth="1"/>
    <col min="3" max="3" width="18" style="3" bestFit="1" customWidth="1"/>
    <col min="4" max="4" width="18" style="3" customWidth="1"/>
    <col min="5" max="5" width="18.140625" style="3" customWidth="1"/>
    <col min="6" max="6" width="11" style="2" customWidth="1"/>
    <col min="7" max="8" width="9.140625" style="1"/>
    <col min="9" max="9" width="17.42578125" style="5" customWidth="1"/>
    <col min="10" max="10" width="18.7109375" style="5" customWidth="1"/>
    <col min="11" max="16384" width="9.140625" style="1"/>
  </cols>
  <sheetData>
    <row r="1" spans="1:15" x14ac:dyDescent="0.25">
      <c r="A1" s="286" t="s">
        <v>126</v>
      </c>
      <c r="B1" s="286"/>
      <c r="C1" s="286"/>
      <c r="D1" s="286"/>
      <c r="E1" s="286"/>
      <c r="F1" s="286"/>
    </row>
    <row r="2" spans="1:15" x14ac:dyDescent="0.25">
      <c r="A2" s="286" t="s">
        <v>125</v>
      </c>
      <c r="B2" s="286"/>
      <c r="C2" s="286"/>
      <c r="D2" s="286"/>
      <c r="E2" s="286"/>
      <c r="F2" s="286"/>
    </row>
    <row r="3" spans="1:15" x14ac:dyDescent="0.25">
      <c r="A3" s="286" t="s">
        <v>127</v>
      </c>
      <c r="B3" s="286"/>
      <c r="C3" s="286"/>
      <c r="D3" s="286"/>
      <c r="E3" s="286"/>
      <c r="F3" s="286"/>
    </row>
    <row r="5" spans="1:15" s="2" customFormat="1" ht="45" x14ac:dyDescent="0.25">
      <c r="A5" s="6" t="s">
        <v>2</v>
      </c>
      <c r="B5" s="7" t="s">
        <v>0</v>
      </c>
      <c r="C5" s="6" t="s">
        <v>3</v>
      </c>
      <c r="D5" s="6" t="s">
        <v>1</v>
      </c>
      <c r="E5" s="6" t="s">
        <v>6</v>
      </c>
      <c r="F5" s="6" t="s">
        <v>97</v>
      </c>
      <c r="G5" s="1"/>
      <c r="H5" s="1"/>
      <c r="I5" s="5"/>
      <c r="J5" s="5"/>
      <c r="K5" s="1"/>
      <c r="L5" s="1"/>
      <c r="M5" s="1"/>
      <c r="N5" s="1"/>
      <c r="O5" s="1"/>
    </row>
    <row r="6" spans="1:15" s="2" customFormat="1" x14ac:dyDescent="0.25">
      <c r="A6" s="18">
        <v>1</v>
      </c>
      <c r="B6" s="18">
        <v>2</v>
      </c>
      <c r="C6" s="18">
        <v>3</v>
      </c>
      <c r="D6" s="18">
        <v>4</v>
      </c>
      <c r="E6" s="18">
        <v>5</v>
      </c>
      <c r="F6" s="18">
        <v>6</v>
      </c>
      <c r="G6" s="1"/>
      <c r="H6" s="1"/>
      <c r="I6" s="5"/>
      <c r="J6" s="5"/>
      <c r="K6" s="1"/>
      <c r="L6" s="1"/>
      <c r="M6" s="1"/>
      <c r="N6" s="1"/>
      <c r="O6" s="1"/>
    </row>
    <row r="7" spans="1:15" x14ac:dyDescent="0.25">
      <c r="A7" s="11" t="s">
        <v>5</v>
      </c>
      <c r="B7" s="7" t="s">
        <v>4</v>
      </c>
      <c r="C7" s="12">
        <v>11942532217</v>
      </c>
      <c r="D7" s="12">
        <v>11518032590</v>
      </c>
      <c r="E7" s="12">
        <f>C7-D7</f>
        <v>424499627</v>
      </c>
      <c r="F7" s="7">
        <f>D7/C7*100</f>
        <v>96.445480579104228</v>
      </c>
    </row>
    <row r="8" spans="1:15" ht="6" customHeight="1" x14ac:dyDescent="0.25">
      <c r="A8" s="283"/>
      <c r="B8" s="284"/>
      <c r="C8" s="284"/>
      <c r="D8" s="284"/>
      <c r="E8" s="284"/>
      <c r="F8" s="285"/>
    </row>
    <row r="9" spans="1:15" ht="45" x14ac:dyDescent="0.25">
      <c r="A9" s="11" t="s">
        <v>7</v>
      </c>
      <c r="B9" s="13" t="s">
        <v>8</v>
      </c>
      <c r="C9" s="12">
        <v>46717950</v>
      </c>
      <c r="D9" s="12">
        <v>43916057</v>
      </c>
      <c r="E9" s="12">
        <f>C9-D9</f>
        <v>2801893</v>
      </c>
      <c r="F9" s="7">
        <f t="shared" ref="F9" si="0">D9/C9*100</f>
        <v>94.00253435777897</v>
      </c>
      <c r="I9" s="5">
        <f>D9</f>
        <v>43916057</v>
      </c>
      <c r="J9" s="5">
        <f>SUM(D10:D15)</f>
        <v>43916057</v>
      </c>
    </row>
    <row r="10" spans="1:15" ht="30" x14ac:dyDescent="0.25">
      <c r="A10" s="14" t="s">
        <v>9</v>
      </c>
      <c r="B10" s="14" t="s">
        <v>10</v>
      </c>
      <c r="C10" s="10">
        <v>4247650</v>
      </c>
      <c r="D10" s="10">
        <v>4247650</v>
      </c>
      <c r="E10" s="15">
        <f t="shared" ref="E10:E15" si="1">C10-D10</f>
        <v>0</v>
      </c>
      <c r="F10" s="17">
        <f t="shared" ref="F10:F15" si="2">D10/C10*100</f>
        <v>100</v>
      </c>
    </row>
    <row r="11" spans="1:15" ht="45" x14ac:dyDescent="0.25">
      <c r="A11" s="14" t="s">
        <v>11</v>
      </c>
      <c r="B11" s="14" t="s">
        <v>12</v>
      </c>
      <c r="C11" s="10">
        <v>5122850</v>
      </c>
      <c r="D11" s="10">
        <v>5122850</v>
      </c>
      <c r="E11" s="15">
        <f t="shared" si="1"/>
        <v>0</v>
      </c>
      <c r="F11" s="17">
        <f t="shared" si="2"/>
        <v>100</v>
      </c>
    </row>
    <row r="12" spans="1:15" ht="30" x14ac:dyDescent="0.25">
      <c r="A12" s="14" t="s">
        <v>13</v>
      </c>
      <c r="B12" s="14" t="s">
        <v>14</v>
      </c>
      <c r="C12" s="10">
        <v>3988850</v>
      </c>
      <c r="D12" s="10">
        <v>3988850</v>
      </c>
      <c r="E12" s="15">
        <f t="shared" si="1"/>
        <v>0</v>
      </c>
      <c r="F12" s="17">
        <f t="shared" si="2"/>
        <v>100</v>
      </c>
    </row>
    <row r="13" spans="1:15" ht="30" x14ac:dyDescent="0.25">
      <c r="A13" s="14" t="s">
        <v>15</v>
      </c>
      <c r="B13" s="14" t="s">
        <v>16</v>
      </c>
      <c r="C13" s="10">
        <v>4006700</v>
      </c>
      <c r="D13" s="10">
        <v>4006700</v>
      </c>
      <c r="E13" s="10">
        <f t="shared" si="1"/>
        <v>0</v>
      </c>
      <c r="F13" s="9">
        <f t="shared" si="2"/>
        <v>100</v>
      </c>
    </row>
    <row r="14" spans="1:15" ht="45" x14ac:dyDescent="0.25">
      <c r="A14" s="8" t="s">
        <v>17</v>
      </c>
      <c r="B14" s="14" t="s">
        <v>18</v>
      </c>
      <c r="C14" s="10">
        <v>24284300</v>
      </c>
      <c r="D14" s="10">
        <v>21482407</v>
      </c>
      <c r="E14" s="10">
        <f t="shared" si="1"/>
        <v>2801893</v>
      </c>
      <c r="F14" s="9">
        <f t="shared" si="2"/>
        <v>88.462121617670675</v>
      </c>
    </row>
    <row r="15" spans="1:15" x14ac:dyDescent="0.25">
      <c r="A15" s="8" t="s">
        <v>19</v>
      </c>
      <c r="B15" s="14" t="s">
        <v>20</v>
      </c>
      <c r="C15" s="10">
        <v>5067600</v>
      </c>
      <c r="D15" s="10">
        <v>5067600</v>
      </c>
      <c r="E15" s="10">
        <f t="shared" si="1"/>
        <v>0</v>
      </c>
      <c r="F15" s="9">
        <f t="shared" si="2"/>
        <v>100</v>
      </c>
    </row>
    <row r="16" spans="1:15" ht="4.5" customHeight="1" x14ac:dyDescent="0.25">
      <c r="A16" s="283"/>
      <c r="B16" s="284"/>
      <c r="C16" s="284"/>
      <c r="D16" s="284"/>
      <c r="E16" s="284"/>
      <c r="F16" s="285"/>
    </row>
    <row r="17" spans="1:10" ht="30" x14ac:dyDescent="0.25">
      <c r="A17" s="13" t="s">
        <v>21</v>
      </c>
      <c r="B17" s="13" t="s">
        <v>22</v>
      </c>
      <c r="C17" s="12">
        <v>4083204547</v>
      </c>
      <c r="D17" s="12">
        <v>3859354473</v>
      </c>
      <c r="E17" s="12">
        <f t="shared" ref="E17:E20" si="3">C17-D17</f>
        <v>223850074</v>
      </c>
      <c r="F17" s="7">
        <f t="shared" ref="F17:F20" si="4">D17/C17*100</f>
        <v>94.517784465035774</v>
      </c>
      <c r="I17" s="5">
        <f t="shared" ref="I17:I72" si="5">D17</f>
        <v>3859354473</v>
      </c>
      <c r="J17" s="5">
        <f>SUM(D18:D20)</f>
        <v>3859354473</v>
      </c>
    </row>
    <row r="18" spans="1:10" x14ac:dyDescent="0.25">
      <c r="A18" s="8" t="s">
        <v>23</v>
      </c>
      <c r="B18" s="14" t="s">
        <v>24</v>
      </c>
      <c r="C18" s="10">
        <v>4001863147</v>
      </c>
      <c r="D18" s="10">
        <v>3783089673</v>
      </c>
      <c r="E18" s="10">
        <f t="shared" si="3"/>
        <v>218773474</v>
      </c>
      <c r="F18" s="9">
        <f t="shared" si="4"/>
        <v>94.533209508575936</v>
      </c>
    </row>
    <row r="19" spans="1:10" ht="30" x14ac:dyDescent="0.25">
      <c r="A19" s="8" t="s">
        <v>25</v>
      </c>
      <c r="B19" s="14" t="s">
        <v>26</v>
      </c>
      <c r="C19" s="10">
        <v>38238850</v>
      </c>
      <c r="D19" s="10">
        <v>35446300</v>
      </c>
      <c r="E19" s="10">
        <f t="shared" si="3"/>
        <v>2792550</v>
      </c>
      <c r="F19" s="9">
        <f t="shared" si="4"/>
        <v>92.697086863229416</v>
      </c>
    </row>
    <row r="20" spans="1:10" ht="30" x14ac:dyDescent="0.25">
      <c r="A20" s="8" t="s">
        <v>27</v>
      </c>
      <c r="B20" s="14" t="s">
        <v>28</v>
      </c>
      <c r="C20" s="10">
        <v>43102550</v>
      </c>
      <c r="D20" s="10">
        <v>40818500</v>
      </c>
      <c r="E20" s="10">
        <f t="shared" si="3"/>
        <v>2284050</v>
      </c>
      <c r="F20" s="9">
        <f t="shared" si="4"/>
        <v>94.700893566621929</v>
      </c>
    </row>
    <row r="21" spans="1:10" ht="4.5" customHeight="1" x14ac:dyDescent="0.25">
      <c r="A21" s="283"/>
      <c r="B21" s="284"/>
      <c r="C21" s="284"/>
      <c r="D21" s="284"/>
      <c r="E21" s="284"/>
      <c r="F21" s="285"/>
    </row>
    <row r="22" spans="1:10" ht="30" x14ac:dyDescent="0.25">
      <c r="A22" s="11" t="s">
        <v>29</v>
      </c>
      <c r="B22" s="13" t="s">
        <v>30</v>
      </c>
      <c r="C22" s="12">
        <v>22633500</v>
      </c>
      <c r="D22" s="12">
        <v>22633500</v>
      </c>
      <c r="E22" s="10">
        <f t="shared" ref="E22:E23" si="6">C22-D22</f>
        <v>0</v>
      </c>
      <c r="F22" s="9">
        <f t="shared" ref="F22:F23" si="7">D22/C22*100</f>
        <v>100</v>
      </c>
      <c r="I22" s="5">
        <f t="shared" si="5"/>
        <v>22633500</v>
      </c>
      <c r="J22" s="5">
        <f>D23</f>
        <v>22633500</v>
      </c>
    </row>
    <row r="23" spans="1:10" ht="30" x14ac:dyDescent="0.25">
      <c r="A23" s="8" t="s">
        <v>31</v>
      </c>
      <c r="B23" s="14" t="s">
        <v>32</v>
      </c>
      <c r="C23" s="10">
        <v>22633500</v>
      </c>
      <c r="D23" s="10">
        <v>22633500</v>
      </c>
      <c r="E23" s="10">
        <f t="shared" si="6"/>
        <v>0</v>
      </c>
      <c r="F23" s="9">
        <f t="shared" si="7"/>
        <v>100</v>
      </c>
    </row>
    <row r="24" spans="1:10" ht="4.5" customHeight="1" x14ac:dyDescent="0.25">
      <c r="A24" s="283"/>
      <c r="B24" s="284"/>
      <c r="C24" s="284"/>
      <c r="D24" s="284"/>
      <c r="E24" s="284"/>
      <c r="F24" s="285"/>
    </row>
    <row r="25" spans="1:10" ht="30" x14ac:dyDescent="0.25">
      <c r="A25" s="13" t="s">
        <v>33</v>
      </c>
      <c r="B25" s="13" t="s">
        <v>34</v>
      </c>
      <c r="C25" s="12">
        <v>159821998</v>
      </c>
      <c r="D25" s="12">
        <v>156460160</v>
      </c>
      <c r="E25" s="12">
        <f t="shared" ref="E25" si="8">C25-D25</f>
        <v>3361838</v>
      </c>
      <c r="F25" s="7">
        <f t="shared" ref="F25" si="9">D25/C25*100</f>
        <v>97.896511092296564</v>
      </c>
      <c r="I25" s="5">
        <f t="shared" si="5"/>
        <v>156460160</v>
      </c>
      <c r="J25" s="5">
        <f>SUM(D26:D28)</f>
        <v>156460160</v>
      </c>
    </row>
    <row r="26" spans="1:10" ht="30" x14ac:dyDescent="0.25">
      <c r="A26" s="8" t="s">
        <v>35</v>
      </c>
      <c r="B26" s="14" t="s">
        <v>36</v>
      </c>
      <c r="C26" s="10">
        <v>45102750</v>
      </c>
      <c r="D26" s="10">
        <v>44770000</v>
      </c>
      <c r="E26" s="10">
        <f>C26-D26</f>
        <v>332750</v>
      </c>
      <c r="F26" s="9">
        <f>D26/C26*100</f>
        <v>99.262240107310532</v>
      </c>
    </row>
    <row r="27" spans="1:10" ht="30" x14ac:dyDescent="0.25">
      <c r="A27" s="8" t="s">
        <v>37</v>
      </c>
      <c r="B27" s="14" t="s">
        <v>38</v>
      </c>
      <c r="C27" s="10">
        <v>46716048</v>
      </c>
      <c r="D27" s="10">
        <v>46715160</v>
      </c>
      <c r="E27" s="10">
        <f t="shared" ref="E27:E82" si="10">C27-D27</f>
        <v>888</v>
      </c>
      <c r="F27" s="9">
        <f t="shared" ref="F27:F78" si="11">D27/C27*100</f>
        <v>99.998099154277782</v>
      </c>
    </row>
    <row r="28" spans="1:10" ht="30" x14ac:dyDescent="0.25">
      <c r="A28" s="8" t="s">
        <v>39</v>
      </c>
      <c r="B28" s="14" t="s">
        <v>40</v>
      </c>
      <c r="C28" s="10">
        <v>68003200</v>
      </c>
      <c r="D28" s="10">
        <v>64975000</v>
      </c>
      <c r="E28" s="10">
        <f t="shared" si="10"/>
        <v>3028200</v>
      </c>
      <c r="F28" s="9">
        <f t="shared" si="11"/>
        <v>95.54697426003483</v>
      </c>
    </row>
    <row r="29" spans="1:10" ht="4.5" customHeight="1" x14ac:dyDescent="0.25">
      <c r="A29" s="283"/>
      <c r="B29" s="284"/>
      <c r="C29" s="284"/>
      <c r="D29" s="284"/>
      <c r="E29" s="284"/>
      <c r="F29" s="285"/>
      <c r="I29" s="5">
        <f t="shared" si="5"/>
        <v>0</v>
      </c>
    </row>
    <row r="30" spans="1:10" ht="30" x14ac:dyDescent="0.25">
      <c r="A30" s="11" t="s">
        <v>41</v>
      </c>
      <c r="B30" s="13" t="s">
        <v>42</v>
      </c>
      <c r="C30" s="12">
        <v>437074150</v>
      </c>
      <c r="D30" s="12">
        <v>401317042</v>
      </c>
      <c r="E30" s="12">
        <f t="shared" si="10"/>
        <v>35757108</v>
      </c>
      <c r="F30" s="7">
        <f t="shared" si="11"/>
        <v>91.81898357521257</v>
      </c>
      <c r="I30" s="5">
        <f t="shared" si="5"/>
        <v>401317042</v>
      </c>
      <c r="J30" s="5">
        <f>SUM(D31:D35)</f>
        <v>401317042</v>
      </c>
    </row>
    <row r="31" spans="1:10" ht="30" x14ac:dyDescent="0.25">
      <c r="A31" s="8" t="s">
        <v>43</v>
      </c>
      <c r="B31" s="14" t="s">
        <v>44</v>
      </c>
      <c r="C31" s="10">
        <v>20517000</v>
      </c>
      <c r="D31" s="10">
        <v>20517000</v>
      </c>
      <c r="E31" s="10">
        <f t="shared" si="10"/>
        <v>0</v>
      </c>
      <c r="F31" s="9">
        <f t="shared" si="11"/>
        <v>100</v>
      </c>
    </row>
    <row r="32" spans="1:10" ht="30" x14ac:dyDescent="0.25">
      <c r="A32" s="8" t="s">
        <v>45</v>
      </c>
      <c r="B32" s="14" t="s">
        <v>46</v>
      </c>
      <c r="C32" s="10">
        <v>88338600</v>
      </c>
      <c r="D32" s="10">
        <v>88284200</v>
      </c>
      <c r="E32" s="10">
        <f t="shared" si="10"/>
        <v>54400</v>
      </c>
      <c r="F32" s="9">
        <f t="shared" si="11"/>
        <v>99.93841876597547</v>
      </c>
    </row>
    <row r="33" spans="1:10" x14ac:dyDescent="0.25">
      <c r="A33" s="8" t="s">
        <v>47</v>
      </c>
      <c r="B33" s="14" t="s">
        <v>48</v>
      </c>
      <c r="C33" s="10">
        <v>46183650</v>
      </c>
      <c r="D33" s="10">
        <v>46158650</v>
      </c>
      <c r="E33" s="10">
        <f t="shared" si="10"/>
        <v>25000</v>
      </c>
      <c r="F33" s="9">
        <f t="shared" si="11"/>
        <v>99.945868288885791</v>
      </c>
    </row>
    <row r="34" spans="1:10" ht="30" x14ac:dyDescent="0.25">
      <c r="A34" s="8" t="s">
        <v>49</v>
      </c>
      <c r="B34" s="14" t="s">
        <v>50</v>
      </c>
      <c r="C34" s="10">
        <v>24475500</v>
      </c>
      <c r="D34" s="10">
        <v>21650000</v>
      </c>
      <c r="E34" s="10">
        <f t="shared" si="10"/>
        <v>2825500</v>
      </c>
      <c r="F34" s="9">
        <f t="shared" si="11"/>
        <v>88.455802741517033</v>
      </c>
    </row>
    <row r="35" spans="1:10" ht="30" x14ac:dyDescent="0.25">
      <c r="A35" s="8" t="s">
        <v>51</v>
      </c>
      <c r="B35" s="14" t="s">
        <v>52</v>
      </c>
      <c r="C35" s="10">
        <v>257559400</v>
      </c>
      <c r="D35" s="10">
        <v>224707192</v>
      </c>
      <c r="E35" s="10">
        <f t="shared" si="10"/>
        <v>32852208</v>
      </c>
      <c r="F35" s="9">
        <f t="shared" si="11"/>
        <v>87.244803334687077</v>
      </c>
    </row>
    <row r="36" spans="1:10" ht="5.25" customHeight="1" x14ac:dyDescent="0.25">
      <c r="A36" s="283"/>
      <c r="B36" s="284"/>
      <c r="C36" s="284"/>
      <c r="D36" s="284"/>
      <c r="E36" s="284"/>
      <c r="F36" s="285"/>
    </row>
    <row r="37" spans="1:10" ht="45" x14ac:dyDescent="0.25">
      <c r="A37" s="11" t="s">
        <v>53</v>
      </c>
      <c r="B37" s="13" t="s">
        <v>54</v>
      </c>
      <c r="C37" s="12">
        <v>257958514</v>
      </c>
      <c r="D37" s="12">
        <v>257644000</v>
      </c>
      <c r="E37" s="12">
        <f t="shared" si="10"/>
        <v>314514</v>
      </c>
      <c r="F37" s="7">
        <f t="shared" si="11"/>
        <v>99.878075743605805</v>
      </c>
      <c r="I37" s="5">
        <f t="shared" si="5"/>
        <v>257644000</v>
      </c>
      <c r="J37" s="5">
        <f>SUM(D38:D40)</f>
        <v>257644000</v>
      </c>
    </row>
    <row r="38" spans="1:10" ht="30" x14ac:dyDescent="0.25">
      <c r="A38" s="8" t="s">
        <v>55</v>
      </c>
      <c r="B38" s="14" t="s">
        <v>56</v>
      </c>
      <c r="C38" s="10">
        <v>0</v>
      </c>
      <c r="D38" s="10">
        <v>0</v>
      </c>
      <c r="E38" s="10">
        <f t="shared" si="10"/>
        <v>0</v>
      </c>
      <c r="F38" s="9">
        <v>0</v>
      </c>
    </row>
    <row r="39" spans="1:10" ht="30" x14ac:dyDescent="0.25">
      <c r="A39" s="8" t="s">
        <v>57</v>
      </c>
      <c r="B39" s="14" t="s">
        <v>58</v>
      </c>
      <c r="C39" s="10">
        <v>158886923</v>
      </c>
      <c r="D39" s="10">
        <v>158644000</v>
      </c>
      <c r="E39" s="10">
        <f t="shared" si="10"/>
        <v>242923</v>
      </c>
      <c r="F39" s="9">
        <f t="shared" si="11"/>
        <v>99.847109506929016</v>
      </c>
    </row>
    <row r="40" spans="1:10" ht="45" x14ac:dyDescent="0.25">
      <c r="A40" s="8" t="s">
        <v>59</v>
      </c>
      <c r="B40" s="14" t="s">
        <v>60</v>
      </c>
      <c r="C40" s="10">
        <v>99071591</v>
      </c>
      <c r="D40" s="10">
        <v>99000000</v>
      </c>
      <c r="E40" s="10">
        <f t="shared" si="10"/>
        <v>71591</v>
      </c>
      <c r="F40" s="9">
        <f t="shared" si="11"/>
        <v>99.927738114148184</v>
      </c>
    </row>
    <row r="41" spans="1:10" ht="6.75" customHeight="1" x14ac:dyDescent="0.25">
      <c r="A41" s="283"/>
      <c r="B41" s="284"/>
      <c r="C41" s="284"/>
      <c r="D41" s="284"/>
      <c r="E41" s="284"/>
      <c r="F41" s="285"/>
      <c r="I41" s="5">
        <f t="shared" si="5"/>
        <v>0</v>
      </c>
    </row>
    <row r="42" spans="1:10" ht="30" x14ac:dyDescent="0.25">
      <c r="A42" s="11" t="s">
        <v>61</v>
      </c>
      <c r="B42" s="13" t="s">
        <v>62</v>
      </c>
      <c r="C42" s="12">
        <v>432044350</v>
      </c>
      <c r="D42" s="12">
        <v>392444732</v>
      </c>
      <c r="E42" s="12">
        <f t="shared" si="10"/>
        <v>39599618</v>
      </c>
      <c r="F42" s="7">
        <f t="shared" si="11"/>
        <v>90.834362722252934</v>
      </c>
      <c r="I42" s="5">
        <f t="shared" si="5"/>
        <v>392444732</v>
      </c>
      <c r="J42" s="5">
        <f>SUM(D43:D45)</f>
        <v>392444732</v>
      </c>
    </row>
    <row r="43" spans="1:10" x14ac:dyDescent="0.25">
      <c r="A43" s="8" t="s">
        <v>63</v>
      </c>
      <c r="B43" s="14" t="s">
        <v>64</v>
      </c>
      <c r="C43" s="10">
        <v>996000</v>
      </c>
      <c r="D43" s="10">
        <v>600000</v>
      </c>
      <c r="E43" s="10">
        <f t="shared" si="10"/>
        <v>396000</v>
      </c>
      <c r="F43" s="9">
        <f t="shared" si="11"/>
        <v>60.24096385542169</v>
      </c>
    </row>
    <row r="44" spans="1:10" ht="30" x14ac:dyDescent="0.25">
      <c r="A44" s="8" t="s">
        <v>65</v>
      </c>
      <c r="B44" s="14" t="s">
        <v>66</v>
      </c>
      <c r="C44" s="10">
        <v>144048350</v>
      </c>
      <c r="D44" s="10">
        <v>142544732</v>
      </c>
      <c r="E44" s="10">
        <f t="shared" si="10"/>
        <v>1503618</v>
      </c>
      <c r="F44" s="9">
        <f t="shared" si="11"/>
        <v>98.95617131331251</v>
      </c>
    </row>
    <row r="45" spans="1:10" ht="30" x14ac:dyDescent="0.25">
      <c r="A45" s="8" t="s">
        <v>67</v>
      </c>
      <c r="B45" s="14" t="s">
        <v>68</v>
      </c>
      <c r="C45" s="10">
        <v>287000000</v>
      </c>
      <c r="D45" s="10">
        <v>249300000</v>
      </c>
      <c r="E45" s="10">
        <f t="shared" si="10"/>
        <v>37700000</v>
      </c>
      <c r="F45" s="9">
        <f t="shared" si="11"/>
        <v>86.864111498257842</v>
      </c>
    </row>
    <row r="46" spans="1:10" ht="4.5" customHeight="1" x14ac:dyDescent="0.25">
      <c r="A46" s="283"/>
      <c r="B46" s="284"/>
      <c r="C46" s="284"/>
      <c r="D46" s="284"/>
      <c r="E46" s="284"/>
      <c r="F46" s="285"/>
    </row>
    <row r="47" spans="1:10" ht="45" x14ac:dyDescent="0.25">
      <c r="A47" s="11" t="s">
        <v>69</v>
      </c>
      <c r="B47" s="13" t="s">
        <v>70</v>
      </c>
      <c r="C47" s="12">
        <v>222936000</v>
      </c>
      <c r="D47" s="12">
        <v>218463000</v>
      </c>
      <c r="E47" s="12">
        <f t="shared" si="10"/>
        <v>4473000</v>
      </c>
      <c r="F47" s="7">
        <f t="shared" si="11"/>
        <v>97.993594574227586</v>
      </c>
      <c r="I47" s="5">
        <f t="shared" si="5"/>
        <v>218463000</v>
      </c>
      <c r="J47" s="5">
        <f>SUM(D48:D50)</f>
        <v>218463000</v>
      </c>
    </row>
    <row r="48" spans="1:10" ht="75" x14ac:dyDescent="0.25">
      <c r="A48" s="8" t="s">
        <v>71</v>
      </c>
      <c r="B48" s="14" t="s">
        <v>72</v>
      </c>
      <c r="C48" s="10">
        <v>105650000</v>
      </c>
      <c r="D48" s="10">
        <v>104110000</v>
      </c>
      <c r="E48" s="10">
        <f t="shared" si="10"/>
        <v>1540000</v>
      </c>
      <c r="F48" s="9">
        <f t="shared" si="11"/>
        <v>98.54235683861809</v>
      </c>
    </row>
    <row r="49" spans="1:10" ht="30" x14ac:dyDescent="0.25">
      <c r="A49" s="8" t="s">
        <v>73</v>
      </c>
      <c r="B49" s="14" t="s">
        <v>74</v>
      </c>
      <c r="C49" s="10">
        <v>37430000</v>
      </c>
      <c r="D49" s="10">
        <v>34853000</v>
      </c>
      <c r="E49" s="10">
        <f t="shared" si="10"/>
        <v>2577000</v>
      </c>
      <c r="F49" s="9">
        <f t="shared" si="11"/>
        <v>93.11514827678333</v>
      </c>
    </row>
    <row r="50" spans="1:10" ht="60" x14ac:dyDescent="0.25">
      <c r="A50" s="8" t="s">
        <v>75</v>
      </c>
      <c r="B50" s="14" t="s">
        <v>76</v>
      </c>
      <c r="C50" s="10">
        <v>79856000</v>
      </c>
      <c r="D50" s="10">
        <v>79500000</v>
      </c>
      <c r="E50" s="10">
        <f t="shared" si="10"/>
        <v>356000</v>
      </c>
      <c r="F50" s="9">
        <f t="shared" si="11"/>
        <v>99.554197555600084</v>
      </c>
    </row>
    <row r="51" spans="1:10" ht="4.5" customHeight="1" x14ac:dyDescent="0.25">
      <c r="A51" s="283"/>
      <c r="B51" s="284"/>
      <c r="C51" s="284"/>
      <c r="D51" s="284"/>
      <c r="E51" s="284"/>
      <c r="F51" s="285"/>
    </row>
    <row r="52" spans="1:10" ht="60" x14ac:dyDescent="0.25">
      <c r="A52" s="11" t="s">
        <v>77</v>
      </c>
      <c r="B52" s="13" t="s">
        <v>78</v>
      </c>
      <c r="C52" s="12">
        <v>2611850831</v>
      </c>
      <c r="D52" s="12">
        <v>2569413490</v>
      </c>
      <c r="E52" s="12">
        <f t="shared" si="10"/>
        <v>42437341</v>
      </c>
      <c r="F52" s="7">
        <f t="shared" si="11"/>
        <v>98.375200432723332</v>
      </c>
      <c r="I52" s="5">
        <f t="shared" si="5"/>
        <v>2569413490</v>
      </c>
      <c r="J52" s="5">
        <f>SUM(D53:D58)</f>
        <v>2569413490</v>
      </c>
    </row>
    <row r="53" spans="1:10" ht="45" x14ac:dyDescent="0.25">
      <c r="A53" s="16" t="s">
        <v>79</v>
      </c>
      <c r="B53" s="16" t="s">
        <v>80</v>
      </c>
      <c r="C53" s="15">
        <v>445801595</v>
      </c>
      <c r="D53" s="15">
        <v>434271000</v>
      </c>
      <c r="E53" s="15">
        <f t="shared" si="10"/>
        <v>11530595</v>
      </c>
      <c r="F53" s="17">
        <f t="shared" si="11"/>
        <v>97.413514188974588</v>
      </c>
    </row>
    <row r="54" spans="1:10" ht="30" x14ac:dyDescent="0.25">
      <c r="A54" s="14" t="s">
        <v>81</v>
      </c>
      <c r="B54" s="14" t="s">
        <v>82</v>
      </c>
      <c r="C54" s="10">
        <v>379077943</v>
      </c>
      <c r="D54" s="10">
        <v>377860262</v>
      </c>
      <c r="E54" s="10">
        <f t="shared" si="10"/>
        <v>1217681</v>
      </c>
      <c r="F54" s="9">
        <f t="shared" si="11"/>
        <v>99.678778197865242</v>
      </c>
    </row>
    <row r="55" spans="1:10" x14ac:dyDescent="0.25">
      <c r="A55" s="8" t="s">
        <v>83</v>
      </c>
      <c r="B55" s="8" t="s">
        <v>84</v>
      </c>
      <c r="C55" s="10">
        <v>85602023</v>
      </c>
      <c r="D55" s="10">
        <v>85226064</v>
      </c>
      <c r="E55" s="10">
        <f t="shared" si="10"/>
        <v>375959</v>
      </c>
      <c r="F55" s="9">
        <f t="shared" si="11"/>
        <v>99.560805940298863</v>
      </c>
    </row>
    <row r="56" spans="1:10" x14ac:dyDescent="0.25">
      <c r="A56" s="8" t="s">
        <v>85</v>
      </c>
      <c r="B56" s="8" t="s">
        <v>86</v>
      </c>
      <c r="C56" s="10">
        <v>1516731077</v>
      </c>
      <c r="D56" s="10">
        <v>1497830231</v>
      </c>
      <c r="E56" s="10">
        <f t="shared" si="10"/>
        <v>18900846</v>
      </c>
      <c r="F56" s="9">
        <f t="shared" si="11"/>
        <v>98.753843295847503</v>
      </c>
    </row>
    <row r="57" spans="1:10" ht="30" x14ac:dyDescent="0.25">
      <c r="A57" s="8" t="s">
        <v>87</v>
      </c>
      <c r="B57" s="14" t="s">
        <v>88</v>
      </c>
      <c r="C57" s="10">
        <v>45517076</v>
      </c>
      <c r="D57" s="10">
        <v>40887933</v>
      </c>
      <c r="E57" s="10">
        <f t="shared" si="10"/>
        <v>4629143</v>
      </c>
      <c r="F57" s="9">
        <f t="shared" si="11"/>
        <v>89.829876154610631</v>
      </c>
    </row>
    <row r="58" spans="1:10" ht="45" x14ac:dyDescent="0.25">
      <c r="A58" s="8" t="s">
        <v>89</v>
      </c>
      <c r="B58" s="14" t="s">
        <v>90</v>
      </c>
      <c r="C58" s="10">
        <v>139121117</v>
      </c>
      <c r="D58" s="10">
        <v>133338000</v>
      </c>
      <c r="E58" s="10">
        <f t="shared" si="10"/>
        <v>5783117</v>
      </c>
      <c r="F58" s="9">
        <f t="shared" si="11"/>
        <v>95.843106262581259</v>
      </c>
    </row>
    <row r="59" spans="1:10" ht="5.25" customHeight="1" x14ac:dyDescent="0.25">
      <c r="A59" s="283"/>
      <c r="B59" s="284"/>
      <c r="C59" s="284"/>
      <c r="D59" s="284"/>
      <c r="E59" s="284"/>
      <c r="F59" s="285"/>
    </row>
    <row r="60" spans="1:10" ht="60" x14ac:dyDescent="0.25">
      <c r="A60" s="11" t="s">
        <v>91</v>
      </c>
      <c r="B60" s="13" t="s">
        <v>92</v>
      </c>
      <c r="C60" s="12">
        <v>2886731517</v>
      </c>
      <c r="D60" s="12">
        <v>2871561576</v>
      </c>
      <c r="E60" s="12">
        <f t="shared" si="10"/>
        <v>15169941</v>
      </c>
      <c r="F60" s="7">
        <f t="shared" si="11"/>
        <v>99.474494219131088</v>
      </c>
      <c r="I60" s="5">
        <f t="shared" si="5"/>
        <v>2871561576</v>
      </c>
      <c r="J60" s="5">
        <f>SUM(D61:D62)</f>
        <v>2871561576</v>
      </c>
    </row>
    <row r="61" spans="1:10" ht="75" x14ac:dyDescent="0.25">
      <c r="A61" s="8" t="s">
        <v>93</v>
      </c>
      <c r="B61" s="14" t="s">
        <v>94</v>
      </c>
      <c r="C61" s="10">
        <v>49582275</v>
      </c>
      <c r="D61" s="10">
        <v>48660431</v>
      </c>
      <c r="E61" s="10">
        <f t="shared" si="10"/>
        <v>921844</v>
      </c>
      <c r="F61" s="9">
        <f t="shared" si="11"/>
        <v>98.140779139319449</v>
      </c>
    </row>
    <row r="62" spans="1:10" ht="30" x14ac:dyDescent="0.25">
      <c r="A62" s="14" t="s">
        <v>95</v>
      </c>
      <c r="B62" s="14" t="s">
        <v>96</v>
      </c>
      <c r="C62" s="10">
        <v>2837149242</v>
      </c>
      <c r="D62" s="10">
        <v>2822901145</v>
      </c>
      <c r="E62" s="10">
        <f t="shared" si="10"/>
        <v>14248097</v>
      </c>
      <c r="F62" s="9">
        <f t="shared" si="11"/>
        <v>99.497802343666777</v>
      </c>
    </row>
    <row r="63" spans="1:10" ht="3" customHeight="1" x14ac:dyDescent="0.25">
      <c r="A63" s="283"/>
      <c r="B63" s="284"/>
      <c r="C63" s="284"/>
      <c r="D63" s="284"/>
      <c r="E63" s="284"/>
      <c r="F63" s="285"/>
    </row>
    <row r="64" spans="1:10" ht="45" x14ac:dyDescent="0.25">
      <c r="A64" s="11" t="s">
        <v>98</v>
      </c>
      <c r="B64" s="13" t="s">
        <v>99</v>
      </c>
      <c r="C64" s="12">
        <v>566725430</v>
      </c>
      <c r="D64" s="12">
        <v>533864253</v>
      </c>
      <c r="E64" s="12">
        <f t="shared" si="10"/>
        <v>32861177</v>
      </c>
      <c r="F64" s="7">
        <f t="shared" si="11"/>
        <v>94.201570061890465</v>
      </c>
      <c r="I64" s="5">
        <f t="shared" si="5"/>
        <v>533864253</v>
      </c>
      <c r="J64" s="5">
        <f>SUM(D65:D70)</f>
        <v>533864253</v>
      </c>
    </row>
    <row r="65" spans="1:10" ht="60" x14ac:dyDescent="0.25">
      <c r="A65" s="8" t="s">
        <v>100</v>
      </c>
      <c r="B65" s="14" t="s">
        <v>101</v>
      </c>
      <c r="C65" s="10">
        <v>224857135</v>
      </c>
      <c r="D65" s="10">
        <v>224315899</v>
      </c>
      <c r="E65" s="10">
        <f t="shared" si="10"/>
        <v>541236</v>
      </c>
      <c r="F65" s="9">
        <f t="shared" si="11"/>
        <v>99.759297831487544</v>
      </c>
    </row>
    <row r="66" spans="1:10" ht="30" x14ac:dyDescent="0.25">
      <c r="A66" s="8" t="s">
        <v>102</v>
      </c>
      <c r="B66" s="14" t="s">
        <v>103</v>
      </c>
      <c r="C66" s="10">
        <v>142882850</v>
      </c>
      <c r="D66" s="10">
        <v>128320058</v>
      </c>
      <c r="E66" s="10">
        <f t="shared" si="10"/>
        <v>14562792</v>
      </c>
      <c r="F66" s="9">
        <f t="shared" si="11"/>
        <v>89.807879672053019</v>
      </c>
    </row>
    <row r="67" spans="1:10" ht="30" x14ac:dyDescent="0.25">
      <c r="A67" s="8" t="s">
        <v>104</v>
      </c>
      <c r="B67" s="14" t="s">
        <v>105</v>
      </c>
      <c r="C67" s="10">
        <v>46925450</v>
      </c>
      <c r="D67" s="10">
        <v>45425000</v>
      </c>
      <c r="E67" s="10">
        <f t="shared" si="10"/>
        <v>1500450</v>
      </c>
      <c r="F67" s="9">
        <f t="shared" si="11"/>
        <v>96.802481382703846</v>
      </c>
    </row>
    <row r="68" spans="1:10" ht="30" x14ac:dyDescent="0.25">
      <c r="A68" s="8" t="s">
        <v>106</v>
      </c>
      <c r="B68" s="14" t="s">
        <v>107</v>
      </c>
      <c r="C68" s="10">
        <v>50819322</v>
      </c>
      <c r="D68" s="10">
        <v>43879996</v>
      </c>
      <c r="E68" s="10">
        <f t="shared" si="10"/>
        <v>6939326</v>
      </c>
      <c r="F68" s="9">
        <f t="shared" si="11"/>
        <v>86.34510314797194</v>
      </c>
    </row>
    <row r="69" spans="1:10" ht="45" x14ac:dyDescent="0.25">
      <c r="A69" s="8" t="s">
        <v>108</v>
      </c>
      <c r="B69" s="14" t="s">
        <v>109</v>
      </c>
      <c r="C69" s="10">
        <v>64588813</v>
      </c>
      <c r="D69" s="10">
        <v>55867700</v>
      </c>
      <c r="E69" s="10">
        <f t="shared" si="10"/>
        <v>8721113</v>
      </c>
      <c r="F69" s="9">
        <f t="shared" si="11"/>
        <v>86.497486801623054</v>
      </c>
    </row>
    <row r="70" spans="1:10" ht="45" x14ac:dyDescent="0.25">
      <c r="A70" s="8" t="s">
        <v>110</v>
      </c>
      <c r="B70" s="14" t="s">
        <v>111</v>
      </c>
      <c r="C70" s="10">
        <v>36651860</v>
      </c>
      <c r="D70" s="10">
        <v>36055600</v>
      </c>
      <c r="E70" s="10">
        <f t="shared" si="10"/>
        <v>596260</v>
      </c>
      <c r="F70" s="9">
        <f t="shared" si="11"/>
        <v>98.373179423909178</v>
      </c>
    </row>
    <row r="71" spans="1:10" ht="3.75" customHeight="1" x14ac:dyDescent="0.25">
      <c r="A71" s="283"/>
      <c r="B71" s="284"/>
      <c r="C71" s="284"/>
      <c r="D71" s="284"/>
      <c r="E71" s="284"/>
      <c r="F71" s="285"/>
    </row>
    <row r="72" spans="1:10" ht="30" x14ac:dyDescent="0.25">
      <c r="A72" s="13" t="s">
        <v>112</v>
      </c>
      <c r="B72" s="13" t="s">
        <v>113</v>
      </c>
      <c r="C72" s="12">
        <v>136816449</v>
      </c>
      <c r="D72" s="12">
        <v>118981769</v>
      </c>
      <c r="E72" s="12">
        <f t="shared" si="10"/>
        <v>17834680</v>
      </c>
      <c r="F72" s="7">
        <f t="shared" si="11"/>
        <v>86.964520618423592</v>
      </c>
      <c r="I72" s="5">
        <f t="shared" si="5"/>
        <v>118981769</v>
      </c>
      <c r="J72" s="5">
        <f>SUM(D73:D74)</f>
        <v>118981769</v>
      </c>
    </row>
    <row r="73" spans="1:10" ht="60" x14ac:dyDescent="0.25">
      <c r="A73" s="8" t="s">
        <v>114</v>
      </c>
      <c r="B73" s="14" t="s">
        <v>115</v>
      </c>
      <c r="C73" s="10">
        <v>80588807</v>
      </c>
      <c r="D73" s="10">
        <v>74878569</v>
      </c>
      <c r="E73" s="10">
        <f t="shared" si="10"/>
        <v>5710238</v>
      </c>
      <c r="F73" s="9">
        <f t="shared" si="11"/>
        <v>92.914353478393096</v>
      </c>
    </row>
    <row r="74" spans="1:10" ht="30" x14ac:dyDescent="0.25">
      <c r="A74" s="8" t="s">
        <v>116</v>
      </c>
      <c r="B74" s="14" t="s">
        <v>117</v>
      </c>
      <c r="C74" s="10">
        <v>56227642</v>
      </c>
      <c r="D74" s="10">
        <v>44103200</v>
      </c>
      <c r="E74" s="10">
        <f t="shared" si="10"/>
        <v>12124442</v>
      </c>
      <c r="F74" s="9">
        <f t="shared" si="11"/>
        <v>78.436865625629466</v>
      </c>
    </row>
    <row r="75" spans="1:10" ht="3" customHeight="1" x14ac:dyDescent="0.25">
      <c r="A75" s="283"/>
      <c r="B75" s="284"/>
      <c r="C75" s="284"/>
      <c r="D75" s="284"/>
      <c r="E75" s="284"/>
      <c r="F75" s="285"/>
    </row>
    <row r="76" spans="1:10" ht="45" x14ac:dyDescent="0.25">
      <c r="A76" s="11" t="s">
        <v>118</v>
      </c>
      <c r="B76" s="13" t="s">
        <v>119</v>
      </c>
      <c r="C76" s="12">
        <v>78016981</v>
      </c>
      <c r="D76" s="12">
        <v>71978538</v>
      </c>
      <c r="E76" s="12">
        <f t="shared" si="10"/>
        <v>6038443</v>
      </c>
      <c r="F76" s="7">
        <f t="shared" si="11"/>
        <v>92.260091428044362</v>
      </c>
      <c r="I76" s="5">
        <f t="shared" ref="I76" si="12">D76</f>
        <v>71978538</v>
      </c>
      <c r="J76" s="5">
        <f>SUM(D77:D78)</f>
        <v>71978538</v>
      </c>
    </row>
    <row r="77" spans="1:10" ht="60" x14ac:dyDescent="0.25">
      <c r="A77" s="14" t="s">
        <v>120</v>
      </c>
      <c r="B77" s="14" t="s">
        <v>121</v>
      </c>
      <c r="C77" s="10">
        <v>38467076</v>
      </c>
      <c r="D77" s="10">
        <v>36396295</v>
      </c>
      <c r="E77" s="10">
        <f t="shared" si="10"/>
        <v>2070781</v>
      </c>
      <c r="F77" s="9">
        <f t="shared" si="11"/>
        <v>94.616744459599687</v>
      </c>
    </row>
    <row r="78" spans="1:10" ht="45" x14ac:dyDescent="0.25">
      <c r="A78" s="14" t="s">
        <v>122</v>
      </c>
      <c r="B78" s="14" t="s">
        <v>123</v>
      </c>
      <c r="C78" s="10">
        <v>39549905</v>
      </c>
      <c r="D78" s="10">
        <v>35582243</v>
      </c>
      <c r="E78" s="10">
        <f t="shared" si="10"/>
        <v>3967662</v>
      </c>
      <c r="F78" s="9">
        <f t="shared" si="11"/>
        <v>89.967960732143354</v>
      </c>
    </row>
    <row r="79" spans="1:10" ht="3.75" customHeight="1" x14ac:dyDescent="0.25">
      <c r="A79" s="283"/>
      <c r="B79" s="284"/>
      <c r="C79" s="284"/>
      <c r="D79" s="284"/>
      <c r="E79" s="284"/>
      <c r="F79" s="285"/>
    </row>
    <row r="80" spans="1:10" x14ac:dyDescent="0.25">
      <c r="A80" s="287" t="s">
        <v>124</v>
      </c>
      <c r="B80" s="287"/>
      <c r="C80" s="12">
        <f>C9+C17+C22+C25+C30+C37+C42+C47+C52+C60+C64+C72+C76</f>
        <v>11942532217</v>
      </c>
      <c r="D80" s="12">
        <f>D9+D17+D22+D25+D30+D37+D42+D47+D52+D60+D64+D72+D76</f>
        <v>11518032590</v>
      </c>
      <c r="E80" s="12">
        <f t="shared" si="10"/>
        <v>424499627</v>
      </c>
      <c r="F80" s="7">
        <f>D80/C80*100</f>
        <v>96.445480579104228</v>
      </c>
      <c r="I80" s="5">
        <f>SUM(I9:I78)</f>
        <v>11518032590</v>
      </c>
      <c r="J80" s="5">
        <f>SUM(J9:J78)</f>
        <v>11518032590</v>
      </c>
    </row>
    <row r="81" spans="1:6" x14ac:dyDescent="0.25">
      <c r="A81" s="283"/>
      <c r="B81" s="285"/>
      <c r="C81" s="10">
        <f>C7</f>
        <v>11942532217</v>
      </c>
      <c r="D81" s="10">
        <f>D7</f>
        <v>11518032590</v>
      </c>
      <c r="E81" s="10">
        <f t="shared" si="10"/>
        <v>424499627</v>
      </c>
      <c r="F81" s="9">
        <f>D81/C81*100</f>
        <v>96.445480579104228</v>
      </c>
    </row>
    <row r="82" spans="1:6" x14ac:dyDescent="0.25">
      <c r="B82" s="4"/>
      <c r="D82" s="3">
        <f>D81-D80</f>
        <v>0</v>
      </c>
      <c r="E82" s="3">
        <f t="shared" si="10"/>
        <v>0</v>
      </c>
    </row>
  </sheetData>
  <mergeCells count="19">
    <mergeCell ref="A71:F71"/>
    <mergeCell ref="A8:F8"/>
    <mergeCell ref="A16:F16"/>
    <mergeCell ref="A21:F21"/>
    <mergeCell ref="A24:F24"/>
    <mergeCell ref="A29:F29"/>
    <mergeCell ref="A81:B81"/>
    <mergeCell ref="A1:F1"/>
    <mergeCell ref="A2:F2"/>
    <mergeCell ref="A3:F3"/>
    <mergeCell ref="A36:F36"/>
    <mergeCell ref="A41:F41"/>
    <mergeCell ref="A46:F46"/>
    <mergeCell ref="A51:F51"/>
    <mergeCell ref="A59:F59"/>
    <mergeCell ref="A63:F63"/>
    <mergeCell ref="A80:B80"/>
    <mergeCell ref="A79:F79"/>
    <mergeCell ref="A75:F75"/>
  </mergeCells>
  <printOptions horizontalCentered="1"/>
  <pageMargins left="0.11811023622047245" right="0.11811023622047245" top="0.74803149606299213" bottom="0.74803149606299213" header="0.31496062992125984" footer="0.31496062992125984"/>
  <pageSetup paperSize="9" scale="82"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1"/>
  <sheetViews>
    <sheetView topLeftCell="C5" zoomScale="60" zoomScaleNormal="60" workbookViewId="0">
      <pane xSplit="2" ySplit="3" topLeftCell="E50" activePane="bottomRight" state="frozen"/>
      <selection activeCell="C52" sqref="C52"/>
      <selection pane="topRight" activeCell="C52" sqref="C52"/>
      <selection pane="bottomLeft" activeCell="C52" sqref="C52"/>
      <selection pane="bottomRight" activeCell="C52" sqref="C52"/>
    </sheetView>
  </sheetViews>
  <sheetFormatPr defaultColWidth="9.140625" defaultRowHeight="16.5" x14ac:dyDescent="0.25"/>
  <cols>
    <col min="1" max="1" width="5.42578125" style="19" customWidth="1"/>
    <col min="2" max="2" width="17.85546875" style="19" customWidth="1"/>
    <col min="3" max="3" width="18.85546875" style="19" customWidth="1"/>
    <col min="4" max="4" width="17.42578125" style="19" customWidth="1"/>
    <col min="5" max="5" width="4.28515625" style="19" customWidth="1"/>
    <col min="6" max="6" width="28.140625" style="19" customWidth="1"/>
    <col min="7" max="7" width="4.42578125" style="19" customWidth="1"/>
    <col min="8" max="8" width="5.85546875" style="19" customWidth="1"/>
    <col min="9" max="9" width="4.5703125" style="19" customWidth="1"/>
    <col min="10" max="10" width="8.28515625" style="19" customWidth="1"/>
    <col min="11" max="11" width="14.5703125" style="19" bestFit="1" customWidth="1"/>
    <col min="12" max="12" width="5.5703125" style="19" customWidth="1"/>
    <col min="13" max="13" width="16.28515625" style="19" customWidth="1"/>
    <col min="14" max="14" width="6.140625" style="19" customWidth="1"/>
    <col min="15" max="15" width="14.42578125" style="19" customWidth="1"/>
    <col min="16" max="16" width="5.42578125" style="19" customWidth="1"/>
    <col min="17" max="17" width="16.85546875" style="19" customWidth="1"/>
    <col min="18" max="18" width="8" style="19" customWidth="1"/>
    <col min="19" max="19" width="19" style="19" customWidth="1"/>
    <col min="20" max="20" width="9.28515625" style="19" customWidth="1"/>
    <col min="21" max="21" width="15" style="19" customWidth="1"/>
    <col min="22" max="22" width="11.42578125" style="19" customWidth="1"/>
    <col min="23" max="23" width="10.42578125" style="19" customWidth="1"/>
    <col min="24" max="24" width="9.28515625" style="19" bestFit="1" customWidth="1"/>
    <col min="25" max="25" width="15.42578125" style="19" customWidth="1"/>
    <col min="26" max="27" width="9.140625" style="19"/>
    <col min="28" max="28" width="33.85546875" style="22" customWidth="1"/>
    <col min="29" max="29" width="27" style="22" customWidth="1"/>
    <col min="30" max="31" width="9.140625" style="19"/>
    <col min="32" max="34" width="9.140625" style="20"/>
    <col min="35" max="35" width="9.140625" style="19"/>
    <col min="36" max="16384" width="9.140625" style="21"/>
  </cols>
  <sheetData>
    <row r="1" spans="1:35" x14ac:dyDescent="0.25">
      <c r="A1" s="288" t="s">
        <v>128</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row>
    <row r="2" spans="1:35" x14ac:dyDescent="0.25">
      <c r="A2" s="288" t="s">
        <v>129</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row>
    <row r="3" spans="1:35" x14ac:dyDescent="0.25">
      <c r="A3" s="289" t="s">
        <v>130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row>
    <row r="4" spans="1:35" ht="14.65" customHeight="1" thickBot="1" x14ac:dyDescent="0.3"/>
    <row r="5" spans="1:35" ht="104.25" customHeight="1" x14ac:dyDescent="0.25">
      <c r="A5" s="23" t="s">
        <v>131</v>
      </c>
      <c r="B5" s="24" t="s">
        <v>132</v>
      </c>
      <c r="C5" s="24" t="s">
        <v>133</v>
      </c>
      <c r="D5" s="24" t="s">
        <v>134</v>
      </c>
      <c r="E5" s="290" t="s">
        <v>135</v>
      </c>
      <c r="F5" s="290"/>
      <c r="G5" s="290" t="s">
        <v>136</v>
      </c>
      <c r="H5" s="290"/>
      <c r="I5" s="290" t="s">
        <v>137</v>
      </c>
      <c r="J5" s="290"/>
      <c r="K5" s="290"/>
      <c r="L5" s="290" t="s">
        <v>138</v>
      </c>
      <c r="M5" s="290"/>
      <c r="N5" s="290"/>
      <c r="O5" s="290"/>
      <c r="P5" s="290"/>
      <c r="Q5" s="290"/>
      <c r="R5" s="290"/>
      <c r="S5" s="290"/>
      <c r="T5" s="290" t="s">
        <v>139</v>
      </c>
      <c r="U5" s="290"/>
      <c r="V5" s="290" t="s">
        <v>140</v>
      </c>
      <c r="W5" s="290"/>
      <c r="X5" s="290" t="s">
        <v>141</v>
      </c>
      <c r="Y5" s="290"/>
      <c r="Z5" s="290" t="s">
        <v>142</v>
      </c>
      <c r="AA5" s="291"/>
      <c r="AB5" s="25" t="s">
        <v>143</v>
      </c>
      <c r="AC5" s="26" t="s">
        <v>144</v>
      </c>
    </row>
    <row r="6" spans="1:35" x14ac:dyDescent="0.25">
      <c r="A6" s="27"/>
      <c r="B6" s="28"/>
      <c r="C6" s="29"/>
      <c r="D6" s="29"/>
      <c r="E6" s="292"/>
      <c r="F6" s="292"/>
      <c r="G6" s="293"/>
      <c r="H6" s="294"/>
      <c r="I6" s="295"/>
      <c r="J6" s="295"/>
      <c r="K6" s="295"/>
      <c r="L6" s="292" t="s">
        <v>145</v>
      </c>
      <c r="M6" s="292"/>
      <c r="N6" s="296" t="s">
        <v>146</v>
      </c>
      <c r="O6" s="296"/>
      <c r="P6" s="296" t="s">
        <v>147</v>
      </c>
      <c r="Q6" s="296"/>
      <c r="R6" s="297" t="s">
        <v>148</v>
      </c>
      <c r="S6" s="297"/>
      <c r="T6" s="293"/>
      <c r="U6" s="294"/>
      <c r="V6" s="292"/>
      <c r="W6" s="292"/>
      <c r="X6" s="295"/>
      <c r="Y6" s="295"/>
      <c r="Z6" s="295"/>
      <c r="AA6" s="298"/>
      <c r="AB6" s="30"/>
      <c r="AC6" s="31"/>
    </row>
    <row r="7" spans="1:35" ht="15" customHeight="1" x14ac:dyDescent="0.25">
      <c r="A7" s="299">
        <v>1</v>
      </c>
      <c r="B7" s="292">
        <v>2</v>
      </c>
      <c r="C7" s="292">
        <v>3</v>
      </c>
      <c r="D7" s="292">
        <v>4</v>
      </c>
      <c r="E7" s="292">
        <v>5</v>
      </c>
      <c r="F7" s="292"/>
      <c r="G7" s="292">
        <v>6</v>
      </c>
      <c r="H7" s="292"/>
      <c r="I7" s="293">
        <v>7</v>
      </c>
      <c r="J7" s="300"/>
      <c r="K7" s="294"/>
      <c r="L7" s="292">
        <v>8</v>
      </c>
      <c r="M7" s="292"/>
      <c r="N7" s="296">
        <v>9</v>
      </c>
      <c r="O7" s="296"/>
      <c r="P7" s="296">
        <v>10</v>
      </c>
      <c r="Q7" s="296"/>
      <c r="R7" s="297">
        <v>11</v>
      </c>
      <c r="S7" s="297"/>
      <c r="T7" s="292">
        <v>12</v>
      </c>
      <c r="U7" s="292"/>
      <c r="V7" s="292" t="s">
        <v>149</v>
      </c>
      <c r="W7" s="292"/>
      <c r="X7" s="292" t="s">
        <v>150</v>
      </c>
      <c r="Y7" s="292"/>
      <c r="Z7" s="292" t="s">
        <v>151</v>
      </c>
      <c r="AA7" s="293"/>
      <c r="AB7" s="32">
        <v>16</v>
      </c>
      <c r="AC7" s="33">
        <v>17</v>
      </c>
    </row>
    <row r="8" spans="1:35" x14ac:dyDescent="0.25">
      <c r="A8" s="299"/>
      <c r="B8" s="292"/>
      <c r="C8" s="292"/>
      <c r="D8" s="292"/>
      <c r="E8" s="34" t="s">
        <v>152</v>
      </c>
      <c r="F8" s="34" t="s">
        <v>153</v>
      </c>
      <c r="G8" s="34" t="s">
        <v>152</v>
      </c>
      <c r="H8" s="34" t="s">
        <v>153</v>
      </c>
      <c r="I8" s="302" t="s">
        <v>152</v>
      </c>
      <c r="J8" s="303"/>
      <c r="K8" s="34" t="s">
        <v>153</v>
      </c>
      <c r="L8" s="34" t="s">
        <v>152</v>
      </c>
      <c r="M8" s="34" t="s">
        <v>153</v>
      </c>
      <c r="N8" s="35" t="s">
        <v>152</v>
      </c>
      <c r="O8" s="35" t="s">
        <v>153</v>
      </c>
      <c r="P8" s="35" t="s">
        <v>152</v>
      </c>
      <c r="Q8" s="35" t="s">
        <v>153</v>
      </c>
      <c r="R8" s="35" t="s">
        <v>152</v>
      </c>
      <c r="S8" s="35" t="s">
        <v>153</v>
      </c>
      <c r="T8" s="34" t="s">
        <v>152</v>
      </c>
      <c r="U8" s="34" t="s">
        <v>153</v>
      </c>
      <c r="V8" s="34" t="s">
        <v>152</v>
      </c>
      <c r="W8" s="34" t="s">
        <v>153</v>
      </c>
      <c r="X8" s="34" t="s">
        <v>152</v>
      </c>
      <c r="Y8" s="34" t="s">
        <v>153</v>
      </c>
      <c r="Z8" s="34" t="s">
        <v>152</v>
      </c>
      <c r="AA8" s="36" t="s">
        <v>153</v>
      </c>
      <c r="AB8" s="37"/>
      <c r="AC8" s="38"/>
    </row>
    <row r="9" spans="1:35" s="57" customFormat="1" ht="76.5" customHeight="1" x14ac:dyDescent="0.25">
      <c r="A9" s="39"/>
      <c r="B9" s="40"/>
      <c r="C9" s="41" t="s">
        <v>154</v>
      </c>
      <c r="D9" s="42"/>
      <c r="E9" s="43"/>
      <c r="F9" s="44"/>
      <c r="G9" s="43"/>
      <c r="H9" s="44"/>
      <c r="I9" s="45"/>
      <c r="J9" s="46"/>
      <c r="K9" s="47">
        <f>0+K10+K17+K21+K23+K26+K32+K34+K38+K42+K50+K53+K62+K65</f>
        <v>11623386261</v>
      </c>
      <c r="L9" s="48"/>
      <c r="M9" s="47">
        <f>0+M10+M17+M21+M23+M26+M32+M34+M38+M42+M50+M53+M62+M65</f>
        <v>1116709563</v>
      </c>
      <c r="N9" s="48"/>
      <c r="O9" s="47">
        <f>0+O10+O17+O21+O23+O26+O32+O34+O38+O42+O50+O53+O62+O65</f>
        <v>4558040883</v>
      </c>
      <c r="P9" s="48"/>
      <c r="Q9" s="47">
        <f>0+Q10+Q17+Q21+Q23+Q26+Q32+Q34+Q38+Q42+Q50+Q53+Q62+Q65</f>
        <v>2706868823</v>
      </c>
      <c r="R9" s="48"/>
      <c r="S9" s="47">
        <f>0+S10+S17+S21+S23+S26+S32+S34+S38+S42+S50+S53+S62+S65</f>
        <v>4049975657</v>
      </c>
      <c r="T9" s="47"/>
      <c r="U9" s="47">
        <f>0+U10+U17+U21+U23+U26+U32+U34+U38+U42+U50+U53+U62+U65</f>
        <v>11314885363</v>
      </c>
      <c r="V9" s="49"/>
      <c r="W9" s="49">
        <f>U9/K9*100%</f>
        <v>0.97345860396680484</v>
      </c>
      <c r="X9" s="50"/>
      <c r="Y9" s="47">
        <f t="shared" ref="Y9:Y67" si="0">U9+H9</f>
        <v>11314885363</v>
      </c>
      <c r="Z9" s="51"/>
      <c r="AA9" s="52">
        <f>IFERROR(Y9/F9,0)</f>
        <v>0</v>
      </c>
      <c r="AB9" s="53" t="s">
        <v>155</v>
      </c>
      <c r="AC9" s="54"/>
      <c r="AD9" s="55"/>
      <c r="AE9" s="55"/>
      <c r="AF9" s="56"/>
      <c r="AG9" s="56"/>
      <c r="AH9" s="56"/>
      <c r="AI9" s="55"/>
    </row>
    <row r="10" spans="1:35" s="74" customFormat="1" ht="72" customHeight="1" x14ac:dyDescent="0.25">
      <c r="A10" s="58"/>
      <c r="B10" s="59"/>
      <c r="C10" s="60" t="s">
        <v>156</v>
      </c>
      <c r="D10" s="60" t="s">
        <v>157</v>
      </c>
      <c r="E10" s="61"/>
      <c r="F10" s="62"/>
      <c r="G10" s="61"/>
      <c r="H10" s="62"/>
      <c r="I10" s="63"/>
      <c r="J10" s="64"/>
      <c r="K10" s="65">
        <f>0+K11+K13+K15+K16+K12+K14</f>
        <v>53416000</v>
      </c>
      <c r="L10" s="66"/>
      <c r="M10" s="65">
        <f>0+M11+M13+M15+M16+M12+M14</f>
        <v>8271400</v>
      </c>
      <c r="N10" s="66"/>
      <c r="O10" s="65">
        <f>0+O11+O13+O15+O16+O12+O14</f>
        <v>15311900</v>
      </c>
      <c r="P10" s="66"/>
      <c r="Q10" s="65">
        <f>0+Q11+Q13+Q15+Q16+Q12+Q14</f>
        <v>27524905</v>
      </c>
      <c r="R10" s="66"/>
      <c r="S10" s="65">
        <f>0+S11+S13+S15+S16+S12+S14</f>
        <v>10578894</v>
      </c>
      <c r="T10" s="65"/>
      <c r="U10" s="65">
        <f>0+U11+U13+U15+U16+U12+U14</f>
        <v>53415699</v>
      </c>
      <c r="V10" s="67"/>
      <c r="W10" s="67">
        <f>U10/K10*100%</f>
        <v>0.99999436498427441</v>
      </c>
      <c r="X10" s="68"/>
      <c r="Y10" s="65">
        <f t="shared" si="0"/>
        <v>53415699</v>
      </c>
      <c r="Z10" s="69"/>
      <c r="AA10" s="65">
        <f>0+AA11+AA13+AA15+AA16+AA12+AA14</f>
        <v>0</v>
      </c>
      <c r="AB10" s="70"/>
      <c r="AC10" s="71"/>
      <c r="AD10" s="72"/>
      <c r="AE10" s="72"/>
      <c r="AF10" s="73"/>
      <c r="AG10" s="73"/>
      <c r="AH10" s="73"/>
      <c r="AI10" s="72"/>
    </row>
    <row r="11" spans="1:35" ht="99.75" customHeight="1" x14ac:dyDescent="0.25">
      <c r="A11" s="75"/>
      <c r="B11" s="76"/>
      <c r="C11" s="77" t="s">
        <v>158</v>
      </c>
      <c r="D11" s="78" t="s">
        <v>159</v>
      </c>
      <c r="E11" s="79">
        <v>0</v>
      </c>
      <c r="F11" s="80">
        <v>0</v>
      </c>
      <c r="G11" s="79">
        <v>0</v>
      </c>
      <c r="H11" s="81">
        <v>0</v>
      </c>
      <c r="I11" s="82">
        <v>1</v>
      </c>
      <c r="J11" s="83" t="s">
        <v>160</v>
      </c>
      <c r="K11" s="80">
        <v>5979500</v>
      </c>
      <c r="L11" s="84" t="s">
        <v>161</v>
      </c>
      <c r="M11" s="85">
        <v>734200</v>
      </c>
      <c r="N11" s="85">
        <v>1</v>
      </c>
      <c r="O11" s="85">
        <v>1557900</v>
      </c>
      <c r="P11" s="86">
        <v>0</v>
      </c>
      <c r="Q11" s="86">
        <v>4421600</v>
      </c>
      <c r="R11" s="86" t="s">
        <v>162</v>
      </c>
      <c r="S11" s="86">
        <v>0</v>
      </c>
      <c r="T11" s="80">
        <f t="shared" ref="T11:U16" si="1">SUM(L11,N11,P11,R11)</f>
        <v>1</v>
      </c>
      <c r="U11" s="80">
        <f>SUM(O11,Q11)</f>
        <v>5979500</v>
      </c>
      <c r="V11" s="87">
        <f>T11/I11*100%</f>
        <v>1</v>
      </c>
      <c r="W11" s="87">
        <f t="shared" ref="W11:W67" si="2">U11/K11*100%</f>
        <v>1</v>
      </c>
      <c r="X11" s="80">
        <f t="shared" ref="X11:X16" si="3">T11+G11</f>
        <v>1</v>
      </c>
      <c r="Y11" s="80">
        <f t="shared" si="0"/>
        <v>5979500</v>
      </c>
      <c r="Z11" s="88">
        <f t="shared" ref="Z11:AA16" si="4">IFERROR(X11/E11,0)</f>
        <v>0</v>
      </c>
      <c r="AA11" s="89">
        <f t="shared" si="4"/>
        <v>0</v>
      </c>
      <c r="AB11" s="90"/>
      <c r="AC11" s="38"/>
    </row>
    <row r="12" spans="1:35" ht="99.75" customHeight="1" x14ac:dyDescent="0.25">
      <c r="A12" s="75"/>
      <c r="B12" s="76"/>
      <c r="C12" s="77" t="s">
        <v>163</v>
      </c>
      <c r="D12" s="91" t="s">
        <v>164</v>
      </c>
      <c r="E12" s="79">
        <v>0</v>
      </c>
      <c r="F12" s="80">
        <v>0</v>
      </c>
      <c r="G12" s="79">
        <v>0</v>
      </c>
      <c r="H12" s="81">
        <v>0</v>
      </c>
      <c r="I12" s="82">
        <v>1</v>
      </c>
      <c r="J12" s="83" t="s">
        <v>160</v>
      </c>
      <c r="K12" s="80">
        <v>4129500</v>
      </c>
      <c r="L12" s="85"/>
      <c r="M12" s="81"/>
      <c r="N12" s="85">
        <v>0</v>
      </c>
      <c r="O12" s="85"/>
      <c r="P12" s="86">
        <v>1</v>
      </c>
      <c r="Q12" s="86">
        <v>4129300</v>
      </c>
      <c r="R12" s="86">
        <v>0</v>
      </c>
      <c r="S12" s="86">
        <v>0</v>
      </c>
      <c r="T12" s="80">
        <f t="shared" si="1"/>
        <v>1</v>
      </c>
      <c r="U12" s="80">
        <f t="shared" si="1"/>
        <v>4129300</v>
      </c>
      <c r="V12" s="87">
        <f>T12/I12*100%</f>
        <v>1</v>
      </c>
      <c r="W12" s="87">
        <f t="shared" si="2"/>
        <v>0.99995156798643903</v>
      </c>
      <c r="X12" s="80">
        <f t="shared" si="3"/>
        <v>1</v>
      </c>
      <c r="Y12" s="80">
        <f t="shared" si="0"/>
        <v>4129300</v>
      </c>
      <c r="Z12" s="88">
        <f t="shared" si="4"/>
        <v>0</v>
      </c>
      <c r="AA12" s="89">
        <f t="shared" si="4"/>
        <v>0</v>
      </c>
      <c r="AB12" s="90"/>
      <c r="AC12" s="38"/>
    </row>
    <row r="13" spans="1:35" ht="99.75" customHeight="1" x14ac:dyDescent="0.25">
      <c r="A13" s="75"/>
      <c r="B13" s="76"/>
      <c r="C13" s="77" t="s">
        <v>165</v>
      </c>
      <c r="D13" s="92" t="s">
        <v>166</v>
      </c>
      <c r="E13" s="79">
        <v>0</v>
      </c>
      <c r="F13" s="80">
        <v>0</v>
      </c>
      <c r="G13" s="79">
        <v>0</v>
      </c>
      <c r="H13" s="81">
        <v>0</v>
      </c>
      <c r="I13" s="82">
        <v>1</v>
      </c>
      <c r="J13" s="93" t="s">
        <v>160</v>
      </c>
      <c r="K13" s="80">
        <v>4555500</v>
      </c>
      <c r="L13" s="84" t="s">
        <v>161</v>
      </c>
      <c r="M13" s="85">
        <v>641200</v>
      </c>
      <c r="N13" s="85">
        <v>1</v>
      </c>
      <c r="O13" s="85">
        <v>1348700</v>
      </c>
      <c r="P13" s="86">
        <v>0</v>
      </c>
      <c r="Q13" s="86">
        <v>956800</v>
      </c>
      <c r="R13" s="86">
        <v>0</v>
      </c>
      <c r="S13" s="86">
        <v>2250000</v>
      </c>
      <c r="T13" s="80">
        <f t="shared" si="1"/>
        <v>1</v>
      </c>
      <c r="U13" s="80">
        <f>SUM(O13,Q13,S13)</f>
        <v>4555500</v>
      </c>
      <c r="V13" s="87">
        <f t="shared" ref="V13:V16" si="5">T13/I13*100%</f>
        <v>1</v>
      </c>
      <c r="W13" s="87">
        <f t="shared" si="2"/>
        <v>1</v>
      </c>
      <c r="X13" s="80">
        <f t="shared" si="3"/>
        <v>1</v>
      </c>
      <c r="Y13" s="80">
        <f t="shared" si="0"/>
        <v>4555500</v>
      </c>
      <c r="Z13" s="88">
        <f t="shared" si="4"/>
        <v>0</v>
      </c>
      <c r="AA13" s="89">
        <f t="shared" si="4"/>
        <v>0</v>
      </c>
      <c r="AB13" s="90"/>
      <c r="AC13" s="38"/>
    </row>
    <row r="14" spans="1:35" ht="99.75" customHeight="1" x14ac:dyDescent="0.25">
      <c r="A14" s="75"/>
      <c r="B14" s="76"/>
      <c r="C14" s="77" t="s">
        <v>167</v>
      </c>
      <c r="D14" s="94" t="s">
        <v>168</v>
      </c>
      <c r="E14" s="79">
        <v>0</v>
      </c>
      <c r="F14" s="80">
        <v>0</v>
      </c>
      <c r="G14" s="79">
        <v>0</v>
      </c>
      <c r="H14" s="81">
        <v>0</v>
      </c>
      <c r="I14" s="82">
        <v>1</v>
      </c>
      <c r="J14" s="83" t="s">
        <v>160</v>
      </c>
      <c r="K14" s="80">
        <v>4207400</v>
      </c>
      <c r="L14" s="85"/>
      <c r="M14" s="81">
        <v>0</v>
      </c>
      <c r="N14" s="85"/>
      <c r="O14" s="85"/>
      <c r="P14" s="86"/>
      <c r="Q14" s="86">
        <v>1000000</v>
      </c>
      <c r="R14" s="86">
        <v>1</v>
      </c>
      <c r="S14" s="86">
        <v>3207400</v>
      </c>
      <c r="T14" s="80">
        <f t="shared" si="1"/>
        <v>1</v>
      </c>
      <c r="U14" s="80">
        <f t="shared" si="1"/>
        <v>4207400</v>
      </c>
      <c r="V14" s="87">
        <f t="shared" si="5"/>
        <v>1</v>
      </c>
      <c r="W14" s="87">
        <f>U14/K14*100%</f>
        <v>1</v>
      </c>
      <c r="X14" s="80">
        <f t="shared" si="3"/>
        <v>1</v>
      </c>
      <c r="Y14" s="80">
        <f t="shared" si="0"/>
        <v>4207400</v>
      </c>
      <c r="Z14" s="88">
        <f t="shared" si="4"/>
        <v>0</v>
      </c>
      <c r="AA14" s="89">
        <f t="shared" si="4"/>
        <v>0</v>
      </c>
      <c r="AB14" s="90"/>
      <c r="AC14" s="38"/>
    </row>
    <row r="15" spans="1:35" ht="99.75" customHeight="1" x14ac:dyDescent="0.25">
      <c r="A15" s="75"/>
      <c r="B15" s="76"/>
      <c r="C15" s="77" t="s">
        <v>169</v>
      </c>
      <c r="D15" s="95" t="s">
        <v>170</v>
      </c>
      <c r="E15" s="79">
        <v>0</v>
      </c>
      <c r="F15" s="80">
        <v>0</v>
      </c>
      <c r="G15" s="79">
        <v>0</v>
      </c>
      <c r="H15" s="81">
        <v>0</v>
      </c>
      <c r="I15" s="82">
        <v>2</v>
      </c>
      <c r="J15" s="83" t="s">
        <v>160</v>
      </c>
      <c r="K15" s="80">
        <v>26869300</v>
      </c>
      <c r="L15" s="85">
        <v>1</v>
      </c>
      <c r="M15" s="85">
        <v>4663200</v>
      </c>
      <c r="N15" s="85">
        <v>1</v>
      </c>
      <c r="O15" s="85">
        <v>9439900</v>
      </c>
      <c r="P15" s="86">
        <v>0</v>
      </c>
      <c r="Q15" s="86">
        <v>13807805</v>
      </c>
      <c r="R15" s="86" t="s">
        <v>162</v>
      </c>
      <c r="S15" s="86">
        <v>3621494</v>
      </c>
      <c r="T15" s="80">
        <f t="shared" si="1"/>
        <v>2</v>
      </c>
      <c r="U15" s="80">
        <f>SUM(O15,Q15,S15)</f>
        <v>26869199</v>
      </c>
      <c r="V15" s="87">
        <f t="shared" si="5"/>
        <v>1</v>
      </c>
      <c r="W15" s="87">
        <f>U15/K15*100%</f>
        <v>0.99999624106322083</v>
      </c>
      <c r="X15" s="80">
        <f t="shared" si="3"/>
        <v>2</v>
      </c>
      <c r="Y15" s="80">
        <f t="shared" si="0"/>
        <v>26869199</v>
      </c>
      <c r="Z15" s="88">
        <f t="shared" si="4"/>
        <v>0</v>
      </c>
      <c r="AA15" s="89">
        <f t="shared" si="4"/>
        <v>0</v>
      </c>
      <c r="AB15" s="90"/>
      <c r="AC15" s="38"/>
    </row>
    <row r="16" spans="1:35" ht="99.75" customHeight="1" x14ac:dyDescent="0.25">
      <c r="A16" s="75"/>
      <c r="B16" s="76"/>
      <c r="C16" s="77" t="s">
        <v>20</v>
      </c>
      <c r="D16" s="96" t="s">
        <v>171</v>
      </c>
      <c r="E16" s="79">
        <v>0</v>
      </c>
      <c r="F16" s="80">
        <v>0</v>
      </c>
      <c r="G16" s="79">
        <v>0</v>
      </c>
      <c r="H16" s="81">
        <v>0</v>
      </c>
      <c r="I16" s="82">
        <v>3</v>
      </c>
      <c r="J16" s="83" t="s">
        <v>160</v>
      </c>
      <c r="K16" s="80">
        <v>7674800</v>
      </c>
      <c r="L16" s="85">
        <v>1</v>
      </c>
      <c r="M16" s="85">
        <v>2232800</v>
      </c>
      <c r="N16" s="85">
        <v>2</v>
      </c>
      <c r="O16" s="85">
        <v>2965400</v>
      </c>
      <c r="P16" s="86">
        <v>0</v>
      </c>
      <c r="Q16" s="86">
        <v>3209400</v>
      </c>
      <c r="R16" s="86">
        <v>0</v>
      </c>
      <c r="S16" s="86">
        <v>1500000</v>
      </c>
      <c r="T16" s="80">
        <f t="shared" si="1"/>
        <v>3</v>
      </c>
      <c r="U16" s="80">
        <f>SUM(O16,Q16,S16)</f>
        <v>7674800</v>
      </c>
      <c r="V16" s="87">
        <f t="shared" si="5"/>
        <v>1</v>
      </c>
      <c r="W16" s="87">
        <f t="shared" si="2"/>
        <v>1</v>
      </c>
      <c r="X16" s="80">
        <f t="shared" si="3"/>
        <v>3</v>
      </c>
      <c r="Y16" s="80">
        <f t="shared" si="0"/>
        <v>7674800</v>
      </c>
      <c r="Z16" s="88">
        <f t="shared" si="4"/>
        <v>0</v>
      </c>
      <c r="AA16" s="89">
        <f t="shared" si="4"/>
        <v>0</v>
      </c>
      <c r="AB16" s="90"/>
      <c r="AC16" s="38"/>
    </row>
    <row r="17" spans="1:35" s="74" customFormat="1" ht="47.25" customHeight="1" x14ac:dyDescent="0.25">
      <c r="A17" s="58"/>
      <c r="B17" s="59"/>
      <c r="C17" s="60" t="s">
        <v>172</v>
      </c>
      <c r="D17" s="97"/>
      <c r="E17" s="61"/>
      <c r="F17" s="62">
        <f>0+F18+F19+F20</f>
        <v>0</v>
      </c>
      <c r="G17" s="61"/>
      <c r="H17" s="62">
        <f>0+H18+H19+H20</f>
        <v>0</v>
      </c>
      <c r="I17" s="63"/>
      <c r="J17" s="64"/>
      <c r="K17" s="65">
        <f>0+K18+K19+K20</f>
        <v>4073339681</v>
      </c>
      <c r="L17" s="66"/>
      <c r="M17" s="65">
        <f>0+M18+M19+M20</f>
        <v>731176325</v>
      </c>
      <c r="N17" s="66"/>
      <c r="O17" s="65">
        <f>0+O18+O19+O20</f>
        <v>1816246484</v>
      </c>
      <c r="P17" s="66"/>
      <c r="Q17" s="65">
        <f>0+Q18+Q19+Q20</f>
        <v>1017404168</v>
      </c>
      <c r="R17" s="66"/>
      <c r="S17" s="65">
        <f>0+S18+S19+S20</f>
        <v>1051008874</v>
      </c>
      <c r="T17" s="65"/>
      <c r="U17" s="65">
        <f>0+U18+U19+U20</f>
        <v>3884659526</v>
      </c>
      <c r="V17" s="67"/>
      <c r="W17" s="67">
        <f>U17/K17*100%</f>
        <v>0.95367924853404829</v>
      </c>
      <c r="X17" s="68"/>
      <c r="Y17" s="65">
        <f t="shared" si="0"/>
        <v>3884659526</v>
      </c>
      <c r="Z17" s="69"/>
      <c r="AA17" s="65">
        <f>0+AA18+AA19+AA20</f>
        <v>0</v>
      </c>
      <c r="AB17" s="70"/>
      <c r="AC17" s="71"/>
      <c r="AD17" s="72"/>
      <c r="AE17" s="72"/>
      <c r="AF17" s="73"/>
      <c r="AG17" s="73"/>
      <c r="AH17" s="73"/>
      <c r="AI17" s="72"/>
    </row>
    <row r="18" spans="1:35" ht="50.25" customHeight="1" x14ac:dyDescent="0.25">
      <c r="A18" s="75"/>
      <c r="B18" s="76"/>
      <c r="C18" s="77" t="s">
        <v>24</v>
      </c>
      <c r="D18" s="77" t="s">
        <v>173</v>
      </c>
      <c r="E18" s="79">
        <v>0</v>
      </c>
      <c r="F18" s="80">
        <v>0</v>
      </c>
      <c r="G18" s="79">
        <v>0</v>
      </c>
      <c r="H18" s="81">
        <v>0</v>
      </c>
      <c r="I18" s="82">
        <v>14</v>
      </c>
      <c r="J18" s="83" t="s">
        <v>174</v>
      </c>
      <c r="K18" s="80">
        <v>3974459381</v>
      </c>
      <c r="L18" s="85">
        <v>3</v>
      </c>
      <c r="M18" s="85">
        <v>716916325</v>
      </c>
      <c r="N18" s="85">
        <v>3</v>
      </c>
      <c r="O18" s="85">
        <v>1780596484</v>
      </c>
      <c r="P18" s="86">
        <v>3</v>
      </c>
      <c r="Q18" s="86">
        <v>995313368</v>
      </c>
      <c r="R18" s="86">
        <v>3</v>
      </c>
      <c r="S18" s="86">
        <v>1010495874</v>
      </c>
      <c r="T18" s="80">
        <f>L18+N18+P18+R18</f>
        <v>12</v>
      </c>
      <c r="U18" s="80">
        <f>SUM(O18,Q18,S18)</f>
        <v>3786405726</v>
      </c>
      <c r="V18" s="87">
        <f>T18/I18*100%</f>
        <v>0.8571428571428571</v>
      </c>
      <c r="W18" s="87">
        <f>U18/K18*100%</f>
        <v>0.95268446926417338</v>
      </c>
      <c r="X18" s="80">
        <f>T18+G18</f>
        <v>12</v>
      </c>
      <c r="Y18" s="80">
        <f>U18+H18</f>
        <v>3786405726</v>
      </c>
      <c r="Z18" s="88">
        <f t="shared" ref="Z18:AA20" si="6">IFERROR(X18/E18,0)</f>
        <v>0</v>
      </c>
      <c r="AA18" s="89">
        <f t="shared" si="6"/>
        <v>0</v>
      </c>
      <c r="AB18" s="90"/>
      <c r="AC18" s="38"/>
    </row>
    <row r="19" spans="1:35" ht="68.25" customHeight="1" x14ac:dyDescent="0.25">
      <c r="A19" s="75"/>
      <c r="B19" s="76"/>
      <c r="C19" s="77" t="s">
        <v>175</v>
      </c>
      <c r="D19" s="77" t="s">
        <v>176</v>
      </c>
      <c r="E19" s="79">
        <v>0</v>
      </c>
      <c r="F19" s="80">
        <v>0</v>
      </c>
      <c r="G19" s="79">
        <v>0</v>
      </c>
      <c r="H19" s="81">
        <v>0</v>
      </c>
      <c r="I19" s="82">
        <v>1</v>
      </c>
      <c r="J19" s="83" t="s">
        <v>160</v>
      </c>
      <c r="K19" s="80">
        <v>54388300</v>
      </c>
      <c r="L19" s="81" t="s">
        <v>162</v>
      </c>
      <c r="M19" s="85">
        <v>8240000</v>
      </c>
      <c r="N19" s="85">
        <v>1</v>
      </c>
      <c r="O19" s="85">
        <v>20600000</v>
      </c>
      <c r="P19" s="86">
        <v>0</v>
      </c>
      <c r="Q19" s="86">
        <v>9563600</v>
      </c>
      <c r="R19" s="86">
        <v>0</v>
      </c>
      <c r="S19" s="86">
        <v>23864000</v>
      </c>
      <c r="T19" s="80">
        <f t="shared" ref="T19:T20" si="7">SUM(L19,N19,P19,R19)</f>
        <v>1</v>
      </c>
      <c r="U19" s="80">
        <f>SUM(O19,Q19,S19)</f>
        <v>54027600</v>
      </c>
      <c r="V19" s="87">
        <f>T19/I19*100%</f>
        <v>1</v>
      </c>
      <c r="W19" s="87">
        <f t="shared" si="2"/>
        <v>0.99336805893914681</v>
      </c>
      <c r="X19" s="80">
        <f>T19+G19</f>
        <v>1</v>
      </c>
      <c r="Y19" s="80">
        <f t="shared" si="0"/>
        <v>54027600</v>
      </c>
      <c r="Z19" s="88">
        <f t="shared" si="6"/>
        <v>0</v>
      </c>
      <c r="AA19" s="89">
        <f t="shared" si="6"/>
        <v>0</v>
      </c>
      <c r="AB19" s="90"/>
      <c r="AC19" s="38"/>
    </row>
    <row r="20" spans="1:35" ht="61.5" customHeight="1" x14ac:dyDescent="0.25">
      <c r="A20" s="75"/>
      <c r="B20" s="76"/>
      <c r="C20" s="77" t="s">
        <v>177</v>
      </c>
      <c r="D20" s="77" t="s">
        <v>178</v>
      </c>
      <c r="E20" s="79">
        <v>0</v>
      </c>
      <c r="F20" s="80">
        <v>0</v>
      </c>
      <c r="G20" s="79">
        <v>0</v>
      </c>
      <c r="H20" s="81">
        <v>0</v>
      </c>
      <c r="I20" s="82">
        <v>2</v>
      </c>
      <c r="J20" s="83" t="s">
        <v>160</v>
      </c>
      <c r="K20" s="80">
        <v>44492000</v>
      </c>
      <c r="L20" s="81" t="s">
        <v>162</v>
      </c>
      <c r="M20" s="85">
        <v>6020000</v>
      </c>
      <c r="N20" s="85">
        <v>1</v>
      </c>
      <c r="O20" s="85">
        <v>15050000</v>
      </c>
      <c r="P20" s="86">
        <v>0</v>
      </c>
      <c r="Q20" s="86">
        <v>12527200</v>
      </c>
      <c r="R20" s="86">
        <v>1</v>
      </c>
      <c r="S20" s="86">
        <v>16649000</v>
      </c>
      <c r="T20" s="80">
        <f t="shared" si="7"/>
        <v>2</v>
      </c>
      <c r="U20" s="80">
        <f>SUM(O20,Q20,S20)</f>
        <v>44226200</v>
      </c>
      <c r="V20" s="87">
        <f>T20/I20*100%</f>
        <v>1</v>
      </c>
      <c r="W20" s="87">
        <f t="shared" si="2"/>
        <v>0.99402589229524407</v>
      </c>
      <c r="X20" s="80">
        <f>T20+G20</f>
        <v>2</v>
      </c>
      <c r="Y20" s="80">
        <f t="shared" si="0"/>
        <v>44226200</v>
      </c>
      <c r="Z20" s="88">
        <f t="shared" si="6"/>
        <v>0</v>
      </c>
      <c r="AA20" s="89">
        <f t="shared" si="6"/>
        <v>0</v>
      </c>
      <c r="AB20" s="90"/>
      <c r="AC20" s="38"/>
    </row>
    <row r="21" spans="1:35" s="74" customFormat="1" ht="56.25" customHeight="1" x14ac:dyDescent="0.25">
      <c r="A21" s="58"/>
      <c r="B21" s="59"/>
      <c r="C21" s="60" t="s">
        <v>179</v>
      </c>
      <c r="D21" s="97"/>
      <c r="E21" s="61"/>
      <c r="F21" s="62">
        <f>0+F22</f>
        <v>0</v>
      </c>
      <c r="G21" s="61"/>
      <c r="H21" s="62">
        <f>0+H22</f>
        <v>0</v>
      </c>
      <c r="I21" s="63"/>
      <c r="J21" s="64"/>
      <c r="K21" s="65">
        <f>0+K22</f>
        <v>26768100</v>
      </c>
      <c r="L21" s="66"/>
      <c r="M21" s="65">
        <f>0+M22</f>
        <v>2025000</v>
      </c>
      <c r="N21" s="66"/>
      <c r="O21" s="65">
        <f>0+O22</f>
        <v>12695900</v>
      </c>
      <c r="P21" s="66"/>
      <c r="Q21" s="65">
        <f>0+Q22</f>
        <v>4050000</v>
      </c>
      <c r="R21" s="66"/>
      <c r="S21" s="65">
        <f>0+S22</f>
        <v>9975000</v>
      </c>
      <c r="T21" s="65"/>
      <c r="U21" s="65">
        <f>0+U22</f>
        <v>26720900</v>
      </c>
      <c r="V21" s="67"/>
      <c r="W21" s="67">
        <f t="shared" si="2"/>
        <v>0.99823670712527224</v>
      </c>
      <c r="X21" s="68"/>
      <c r="Y21" s="65">
        <f t="shared" si="0"/>
        <v>26720900</v>
      </c>
      <c r="Z21" s="69"/>
      <c r="AA21" s="65">
        <f>0+AA22</f>
        <v>0</v>
      </c>
      <c r="AB21" s="70"/>
      <c r="AC21" s="71"/>
      <c r="AD21" s="72"/>
      <c r="AE21" s="72"/>
      <c r="AF21" s="73"/>
      <c r="AG21" s="73"/>
      <c r="AH21" s="73"/>
      <c r="AI21" s="72"/>
    </row>
    <row r="22" spans="1:35" ht="66" customHeight="1" x14ac:dyDescent="0.25">
      <c r="A22" s="75"/>
      <c r="B22" s="76"/>
      <c r="C22" s="77" t="s">
        <v>180</v>
      </c>
      <c r="D22" s="95" t="s">
        <v>181</v>
      </c>
      <c r="E22" s="79">
        <v>0</v>
      </c>
      <c r="F22" s="80">
        <v>0</v>
      </c>
      <c r="G22" s="79">
        <v>0</v>
      </c>
      <c r="H22" s="81">
        <v>0</v>
      </c>
      <c r="I22" s="82">
        <v>1</v>
      </c>
      <c r="J22" s="83" t="s">
        <v>160</v>
      </c>
      <c r="K22" s="80">
        <v>26768100</v>
      </c>
      <c r="L22" s="85" t="s">
        <v>162</v>
      </c>
      <c r="M22" s="85">
        <v>2025000</v>
      </c>
      <c r="N22" s="85">
        <v>1</v>
      </c>
      <c r="O22" s="85">
        <v>12695900</v>
      </c>
      <c r="P22" s="86">
        <v>0</v>
      </c>
      <c r="Q22" s="86">
        <v>4050000</v>
      </c>
      <c r="R22" s="86">
        <v>0</v>
      </c>
      <c r="S22" s="86">
        <v>9975000</v>
      </c>
      <c r="T22" s="80">
        <f>SUM(L22,N22,P22,R22)</f>
        <v>1</v>
      </c>
      <c r="U22" s="80">
        <f>SUM(O22,Q22,S22)</f>
        <v>26720900</v>
      </c>
      <c r="V22" s="87">
        <f>T22/I22*100%</f>
        <v>1</v>
      </c>
      <c r="W22" s="87">
        <f t="shared" si="2"/>
        <v>0.99823670712527224</v>
      </c>
      <c r="X22" s="80">
        <f>T22+G22</f>
        <v>1</v>
      </c>
      <c r="Y22" s="80">
        <f t="shared" si="0"/>
        <v>26720900</v>
      </c>
      <c r="Z22" s="88">
        <f>IFERROR(X22/E22,0)</f>
        <v>0</v>
      </c>
      <c r="AA22" s="89">
        <f>IFERROR(Y22/F22,0)</f>
        <v>0</v>
      </c>
      <c r="AB22" s="90"/>
      <c r="AC22" s="38"/>
    </row>
    <row r="23" spans="1:35" s="74" customFormat="1" ht="44.25" customHeight="1" x14ac:dyDescent="0.25">
      <c r="A23" s="58"/>
      <c r="B23" s="59"/>
      <c r="C23" s="60" t="s">
        <v>182</v>
      </c>
      <c r="D23" s="97"/>
      <c r="E23" s="61"/>
      <c r="F23" s="62">
        <f>0+F24</f>
        <v>0</v>
      </c>
      <c r="G23" s="61"/>
      <c r="H23" s="62">
        <f>0+H24</f>
        <v>0</v>
      </c>
      <c r="I23" s="63"/>
      <c r="J23" s="64"/>
      <c r="K23" s="65">
        <f>0+K24+K25</f>
        <v>151578000</v>
      </c>
      <c r="L23" s="66"/>
      <c r="M23" s="65">
        <f>0+M24+M25</f>
        <v>0</v>
      </c>
      <c r="N23" s="66"/>
      <c r="O23" s="65">
        <f>0+O24+O25</f>
        <v>0</v>
      </c>
      <c r="P23" s="66"/>
      <c r="Q23" s="65">
        <f>0+Q24+Q25</f>
        <v>84790007</v>
      </c>
      <c r="R23" s="66"/>
      <c r="S23" s="65">
        <f>0+S24+S25</f>
        <v>66741993</v>
      </c>
      <c r="T23" s="65"/>
      <c r="U23" s="65">
        <f>0+U24+U25</f>
        <v>151532000</v>
      </c>
      <c r="V23" s="67"/>
      <c r="W23" s="67">
        <f t="shared" si="2"/>
        <v>0.9996965258810645</v>
      </c>
      <c r="X23" s="68"/>
      <c r="Y23" s="65">
        <f t="shared" si="0"/>
        <v>151532000</v>
      </c>
      <c r="Z23" s="69"/>
      <c r="AA23" s="65">
        <f>0+AA24+AA25</f>
        <v>0</v>
      </c>
      <c r="AB23" s="70"/>
      <c r="AC23" s="71"/>
      <c r="AD23" s="72"/>
      <c r="AE23" s="72"/>
      <c r="AF23" s="73"/>
      <c r="AG23" s="73"/>
      <c r="AH23" s="73"/>
      <c r="AI23" s="72"/>
    </row>
    <row r="24" spans="1:35" ht="78" customHeight="1" x14ac:dyDescent="0.25">
      <c r="A24" s="75"/>
      <c r="B24" s="76"/>
      <c r="C24" s="77" t="s">
        <v>183</v>
      </c>
      <c r="D24" s="95" t="s">
        <v>184</v>
      </c>
      <c r="E24" s="79">
        <v>0</v>
      </c>
      <c r="F24" s="80">
        <v>0</v>
      </c>
      <c r="G24" s="79">
        <v>0</v>
      </c>
      <c r="H24" s="81">
        <v>0</v>
      </c>
      <c r="I24" s="82">
        <v>15</v>
      </c>
      <c r="J24" s="83" t="s">
        <v>185</v>
      </c>
      <c r="K24" s="80">
        <v>98578000</v>
      </c>
      <c r="L24" s="85">
        <v>0</v>
      </c>
      <c r="M24" s="85">
        <v>0</v>
      </c>
      <c r="N24" s="85"/>
      <c r="O24" s="85">
        <v>0</v>
      </c>
      <c r="P24" s="86">
        <v>5</v>
      </c>
      <c r="Q24" s="86">
        <v>76790007</v>
      </c>
      <c r="R24" s="86">
        <v>10</v>
      </c>
      <c r="S24" s="86">
        <v>21767993</v>
      </c>
      <c r="T24" s="80">
        <f>SUM(L24,N24,P24,R24)</f>
        <v>15</v>
      </c>
      <c r="U24" s="80">
        <f>SUM(M24,O24,Q24,S24)</f>
        <v>98558000</v>
      </c>
      <c r="V24" s="87">
        <f>T24/I24*100%</f>
        <v>1</v>
      </c>
      <c r="W24" s="87">
        <f t="shared" si="2"/>
        <v>0.99979711497494372</v>
      </c>
      <c r="X24" s="80">
        <f>T24+G24</f>
        <v>15</v>
      </c>
      <c r="Y24" s="80">
        <f t="shared" si="0"/>
        <v>98558000</v>
      </c>
      <c r="Z24" s="88">
        <f>IFERROR(X24/E24,0)</f>
        <v>0</v>
      </c>
      <c r="AA24" s="89">
        <f>IFERROR(Y24/F24,0)</f>
        <v>0</v>
      </c>
      <c r="AB24" s="90"/>
      <c r="AC24" s="38"/>
    </row>
    <row r="25" spans="1:35" ht="98.25" customHeight="1" x14ac:dyDescent="0.25">
      <c r="A25" s="75"/>
      <c r="B25" s="76"/>
      <c r="C25" s="95" t="s">
        <v>186</v>
      </c>
      <c r="D25" s="98" t="s">
        <v>187</v>
      </c>
      <c r="E25" s="79">
        <v>0</v>
      </c>
      <c r="F25" s="80">
        <v>0</v>
      </c>
      <c r="G25" s="79">
        <v>0</v>
      </c>
      <c r="H25" s="81">
        <v>0</v>
      </c>
      <c r="I25" s="82">
        <v>15</v>
      </c>
      <c r="J25" s="83" t="s">
        <v>185</v>
      </c>
      <c r="K25" s="80">
        <v>53000000</v>
      </c>
      <c r="L25" s="85"/>
      <c r="M25" s="85">
        <v>0</v>
      </c>
      <c r="N25" s="85">
        <v>0</v>
      </c>
      <c r="O25" s="85">
        <v>0</v>
      </c>
      <c r="P25" s="86">
        <v>5</v>
      </c>
      <c r="Q25" s="86">
        <v>8000000</v>
      </c>
      <c r="R25" s="86">
        <v>10</v>
      </c>
      <c r="S25" s="86">
        <v>44974000</v>
      </c>
      <c r="T25" s="80">
        <f>SUM(L25,N25,P25,R25)</f>
        <v>15</v>
      </c>
      <c r="U25" s="80">
        <f>SUM(M25,O25,Q25,S25)</f>
        <v>52974000</v>
      </c>
      <c r="V25" s="87">
        <f>T25/I25*100%</f>
        <v>1</v>
      </c>
      <c r="W25" s="87">
        <f t="shared" si="2"/>
        <v>0.9995094339622641</v>
      </c>
      <c r="X25" s="80">
        <f>T25+G25</f>
        <v>15</v>
      </c>
      <c r="Y25" s="80">
        <f t="shared" si="0"/>
        <v>52974000</v>
      </c>
      <c r="Z25" s="88">
        <f>IFERROR(X25/E25,0)</f>
        <v>0</v>
      </c>
      <c r="AA25" s="89">
        <f>IFERROR(Y25/F25,0)</f>
        <v>0</v>
      </c>
      <c r="AB25" s="90"/>
      <c r="AC25" s="38"/>
    </row>
    <row r="26" spans="1:35" s="74" customFormat="1" ht="25.5" x14ac:dyDescent="0.25">
      <c r="A26" s="58"/>
      <c r="B26" s="59"/>
      <c r="C26" s="60" t="s">
        <v>42</v>
      </c>
      <c r="D26" s="97"/>
      <c r="E26" s="61"/>
      <c r="F26" s="62">
        <f>0+F27+F28+F29+F30+F31</f>
        <v>0</v>
      </c>
      <c r="G26" s="61"/>
      <c r="H26" s="62">
        <f>0+H27+H28+H29+H30+H31</f>
        <v>0</v>
      </c>
      <c r="I26" s="63"/>
      <c r="J26" s="64"/>
      <c r="K26" s="65">
        <f>0+K27+K28+K29+K30+K31</f>
        <v>351975399</v>
      </c>
      <c r="L26" s="66"/>
      <c r="M26" s="65">
        <f>0+M27+M28+M29+M30+M31</f>
        <v>32837914</v>
      </c>
      <c r="N26" s="66"/>
      <c r="O26" s="65">
        <f>0+O27+O28+O29+O30+O31</f>
        <v>132848822</v>
      </c>
      <c r="P26" s="66"/>
      <c r="Q26" s="65">
        <f>0+Q27+Q28+Q29+Q30+Q31</f>
        <v>55039314</v>
      </c>
      <c r="R26" s="66"/>
      <c r="S26" s="65">
        <f>0+S27+S28+S29+S30+S31</f>
        <v>147082790</v>
      </c>
      <c r="T26" s="65"/>
      <c r="U26" s="65">
        <f>0+U27+U28+U29+U30+U31</f>
        <v>334970926</v>
      </c>
      <c r="V26" s="67"/>
      <c r="W26" s="67">
        <f t="shared" si="2"/>
        <v>0.95168846161319365</v>
      </c>
      <c r="X26" s="68"/>
      <c r="Y26" s="65">
        <f t="shared" si="0"/>
        <v>334970926</v>
      </c>
      <c r="Z26" s="69"/>
      <c r="AA26" s="65">
        <f>0+AA27+AA28+AA29+AA30+AA31</f>
        <v>0</v>
      </c>
      <c r="AB26" s="70"/>
      <c r="AC26" s="71"/>
      <c r="AD26" s="72"/>
      <c r="AE26" s="72"/>
      <c r="AF26" s="73"/>
      <c r="AG26" s="73"/>
      <c r="AH26" s="73"/>
      <c r="AI26" s="72"/>
    </row>
    <row r="27" spans="1:35" ht="75" customHeight="1" x14ac:dyDescent="0.25">
      <c r="A27" s="75"/>
      <c r="B27" s="76"/>
      <c r="C27" s="77" t="s">
        <v>188</v>
      </c>
      <c r="D27" s="95" t="s">
        <v>189</v>
      </c>
      <c r="E27" s="79">
        <v>0</v>
      </c>
      <c r="F27" s="80">
        <v>0</v>
      </c>
      <c r="G27" s="79">
        <v>0</v>
      </c>
      <c r="H27" s="81">
        <v>0</v>
      </c>
      <c r="I27" s="82">
        <v>12</v>
      </c>
      <c r="J27" s="83" t="s">
        <v>174</v>
      </c>
      <c r="K27" s="80">
        <v>9250400</v>
      </c>
      <c r="L27" s="81">
        <v>0</v>
      </c>
      <c r="M27" s="81">
        <v>0</v>
      </c>
      <c r="N27" s="85">
        <v>6</v>
      </c>
      <c r="O27" s="85">
        <v>2915500</v>
      </c>
      <c r="P27" s="86">
        <v>3</v>
      </c>
      <c r="Q27" s="86">
        <v>488000</v>
      </c>
      <c r="R27" s="86">
        <v>3</v>
      </c>
      <c r="S27" s="86">
        <v>5846900</v>
      </c>
      <c r="T27" s="80">
        <f>N27+P27+R27</f>
        <v>12</v>
      </c>
      <c r="U27" s="80">
        <f>SUM(O27,Q27,S27)</f>
        <v>9250400</v>
      </c>
      <c r="V27" s="87">
        <f>T27/I27*100%</f>
        <v>1</v>
      </c>
      <c r="W27" s="87">
        <f t="shared" si="2"/>
        <v>1</v>
      </c>
      <c r="X27" s="80">
        <f>T27+G27</f>
        <v>12</v>
      </c>
      <c r="Y27" s="80">
        <f t="shared" si="0"/>
        <v>9250400</v>
      </c>
      <c r="Z27" s="88">
        <f t="shared" ref="Z27:AA31" si="8">IFERROR(X27/E27,0)</f>
        <v>0</v>
      </c>
      <c r="AA27" s="89">
        <f t="shared" si="8"/>
        <v>0</v>
      </c>
      <c r="AB27" s="90"/>
      <c r="AC27" s="38"/>
    </row>
    <row r="28" spans="1:35" ht="69" customHeight="1" x14ac:dyDescent="0.25">
      <c r="A28" s="75"/>
      <c r="B28" s="76"/>
      <c r="C28" s="77" t="s">
        <v>190</v>
      </c>
      <c r="D28" s="96" t="s">
        <v>191</v>
      </c>
      <c r="E28" s="79">
        <v>0</v>
      </c>
      <c r="F28" s="80">
        <v>0</v>
      </c>
      <c r="G28" s="79">
        <v>0</v>
      </c>
      <c r="H28" s="81">
        <v>0</v>
      </c>
      <c r="I28" s="82">
        <v>12</v>
      </c>
      <c r="J28" s="83" t="s">
        <v>174</v>
      </c>
      <c r="K28" s="80">
        <v>66729400</v>
      </c>
      <c r="L28" s="81">
        <v>0</v>
      </c>
      <c r="M28" s="81">
        <v>0</v>
      </c>
      <c r="N28" s="85">
        <v>6</v>
      </c>
      <c r="O28" s="85">
        <v>19003896</v>
      </c>
      <c r="P28" s="86">
        <v>3</v>
      </c>
      <c r="Q28" s="86">
        <v>22179800</v>
      </c>
      <c r="R28" s="86">
        <v>3</v>
      </c>
      <c r="S28" s="86">
        <v>8743400</v>
      </c>
      <c r="T28" s="80">
        <f>N28+P28+R28</f>
        <v>12</v>
      </c>
      <c r="U28" s="80">
        <f>SUM(O28,Q28,S28)</f>
        <v>49927096</v>
      </c>
      <c r="V28" s="87">
        <f>T28/I28*100%</f>
        <v>1</v>
      </c>
      <c r="W28" s="87">
        <f t="shared" si="2"/>
        <v>0.74820238155895302</v>
      </c>
      <c r="X28" s="80">
        <f>T28+G28</f>
        <v>12</v>
      </c>
      <c r="Y28" s="80">
        <f t="shared" si="0"/>
        <v>49927096</v>
      </c>
      <c r="Z28" s="88">
        <f t="shared" si="8"/>
        <v>0</v>
      </c>
      <c r="AA28" s="89">
        <f t="shared" si="8"/>
        <v>0</v>
      </c>
      <c r="AB28" s="90"/>
      <c r="AC28" s="38"/>
    </row>
    <row r="29" spans="1:35" ht="90.75" customHeight="1" x14ac:dyDescent="0.25">
      <c r="A29" s="75"/>
      <c r="B29" s="76"/>
      <c r="C29" s="77" t="s">
        <v>48</v>
      </c>
      <c r="D29" s="95" t="s">
        <v>192</v>
      </c>
      <c r="E29" s="79">
        <v>0</v>
      </c>
      <c r="F29" s="80">
        <v>0</v>
      </c>
      <c r="G29" s="79">
        <v>0</v>
      </c>
      <c r="H29" s="81">
        <v>0</v>
      </c>
      <c r="I29" s="82">
        <v>12</v>
      </c>
      <c r="J29" s="83" t="s">
        <v>174</v>
      </c>
      <c r="K29" s="80">
        <v>51548900</v>
      </c>
      <c r="L29" s="85">
        <v>3</v>
      </c>
      <c r="M29" s="85">
        <v>2175000</v>
      </c>
      <c r="N29" s="85">
        <v>3</v>
      </c>
      <c r="O29" s="85">
        <v>20520300</v>
      </c>
      <c r="P29" s="86">
        <v>3</v>
      </c>
      <c r="Q29" s="86">
        <v>6750000</v>
      </c>
      <c r="R29" s="86">
        <v>3</v>
      </c>
      <c r="S29" s="86">
        <v>24200800</v>
      </c>
      <c r="T29" s="80">
        <f>L29+N29+P29+R29</f>
        <v>12</v>
      </c>
      <c r="U29" s="80">
        <f>SUM(O29,Q29,S29)</f>
        <v>51471100</v>
      </c>
      <c r="V29" s="87">
        <f>T29/I29*100%</f>
        <v>1</v>
      </c>
      <c r="W29" s="87">
        <f t="shared" si="2"/>
        <v>0.99849075343993765</v>
      </c>
      <c r="X29" s="80">
        <f>T29+G29</f>
        <v>12</v>
      </c>
      <c r="Y29" s="80">
        <f t="shared" si="0"/>
        <v>51471100</v>
      </c>
      <c r="Z29" s="88">
        <f t="shared" si="8"/>
        <v>0</v>
      </c>
      <c r="AA29" s="89">
        <f t="shared" si="8"/>
        <v>0</v>
      </c>
      <c r="AB29" s="90"/>
      <c r="AC29" s="38"/>
    </row>
    <row r="30" spans="1:35" ht="84.75" customHeight="1" x14ac:dyDescent="0.25">
      <c r="A30" s="75"/>
      <c r="B30" s="76"/>
      <c r="C30" s="77" t="s">
        <v>193</v>
      </c>
      <c r="D30" s="96" t="s">
        <v>194</v>
      </c>
      <c r="E30" s="79">
        <v>0</v>
      </c>
      <c r="F30" s="80">
        <v>0</v>
      </c>
      <c r="G30" s="79">
        <v>0</v>
      </c>
      <c r="H30" s="81">
        <v>0</v>
      </c>
      <c r="I30" s="82">
        <v>12</v>
      </c>
      <c r="J30" s="83" t="s">
        <v>174</v>
      </c>
      <c r="K30" s="80">
        <v>22437200</v>
      </c>
      <c r="L30" s="81">
        <v>0</v>
      </c>
      <c r="M30" s="81">
        <v>0</v>
      </c>
      <c r="N30" s="85">
        <v>6</v>
      </c>
      <c r="O30" s="85">
        <v>7790200</v>
      </c>
      <c r="P30" s="86">
        <v>3</v>
      </c>
      <c r="Q30" s="86">
        <v>4124600</v>
      </c>
      <c r="R30" s="86">
        <v>3</v>
      </c>
      <c r="S30" s="86">
        <v>10522400</v>
      </c>
      <c r="T30" s="80">
        <f>L30+N30+P30+R30</f>
        <v>12</v>
      </c>
      <c r="U30" s="80">
        <f>SUM(O30,Q30,S30)</f>
        <v>22437200</v>
      </c>
      <c r="V30" s="87">
        <f>T30/I30*100%</f>
        <v>1</v>
      </c>
      <c r="W30" s="87">
        <f t="shared" si="2"/>
        <v>1</v>
      </c>
      <c r="X30" s="80">
        <f>T30+G30</f>
        <v>12</v>
      </c>
      <c r="Y30" s="80">
        <f t="shared" si="0"/>
        <v>22437200</v>
      </c>
      <c r="Z30" s="88">
        <f t="shared" si="8"/>
        <v>0</v>
      </c>
      <c r="AA30" s="89">
        <f t="shared" si="8"/>
        <v>0</v>
      </c>
      <c r="AB30" s="90"/>
      <c r="AC30" s="38"/>
    </row>
    <row r="31" spans="1:35" ht="63.75" customHeight="1" x14ac:dyDescent="0.25">
      <c r="A31" s="75"/>
      <c r="B31" s="76"/>
      <c r="C31" s="77" t="s">
        <v>195</v>
      </c>
      <c r="D31" s="95" t="s">
        <v>196</v>
      </c>
      <c r="E31" s="79">
        <v>0</v>
      </c>
      <c r="F31" s="80">
        <v>0</v>
      </c>
      <c r="G31" s="79">
        <v>0</v>
      </c>
      <c r="H31" s="81">
        <v>0</v>
      </c>
      <c r="I31" s="82">
        <v>12</v>
      </c>
      <c r="J31" s="83" t="s">
        <v>174</v>
      </c>
      <c r="K31" s="80">
        <v>202009499</v>
      </c>
      <c r="L31" s="85">
        <v>3</v>
      </c>
      <c r="M31" s="85">
        <v>30662914</v>
      </c>
      <c r="N31" s="85">
        <v>3</v>
      </c>
      <c r="O31" s="85">
        <v>82618926</v>
      </c>
      <c r="P31" s="86">
        <v>3</v>
      </c>
      <c r="Q31" s="86">
        <v>21496914</v>
      </c>
      <c r="R31" s="86">
        <v>3</v>
      </c>
      <c r="S31" s="86">
        <v>97769290</v>
      </c>
      <c r="T31" s="80">
        <f>L31+N31+P31+R31</f>
        <v>12</v>
      </c>
      <c r="U31" s="80">
        <f>SUM(O31,Q31,S31)</f>
        <v>201885130</v>
      </c>
      <c r="V31" s="87">
        <f>T31/I31*100%</f>
        <v>1</v>
      </c>
      <c r="W31" s="87">
        <f t="shared" si="2"/>
        <v>0.99938434083240812</v>
      </c>
      <c r="X31" s="80">
        <f>T31+G31</f>
        <v>12</v>
      </c>
      <c r="Y31" s="80">
        <f t="shared" si="0"/>
        <v>201885130</v>
      </c>
      <c r="Z31" s="88">
        <f t="shared" si="8"/>
        <v>0</v>
      </c>
      <c r="AA31" s="89">
        <f t="shared" si="8"/>
        <v>0</v>
      </c>
      <c r="AB31" s="90"/>
      <c r="AC31" s="38"/>
    </row>
    <row r="32" spans="1:35" s="74" customFormat="1" ht="54.75" customHeight="1" x14ac:dyDescent="0.25">
      <c r="A32" s="58"/>
      <c r="B32" s="59"/>
      <c r="C32" s="60" t="s">
        <v>197</v>
      </c>
      <c r="D32" s="97"/>
      <c r="E32" s="61"/>
      <c r="F32" s="62" t="e">
        <f>0+F33+#REF!</f>
        <v>#REF!</v>
      </c>
      <c r="G32" s="61"/>
      <c r="H32" s="62">
        <v>0</v>
      </c>
      <c r="I32" s="63"/>
      <c r="J32" s="64"/>
      <c r="K32" s="65">
        <f>0+K33</f>
        <v>97110300</v>
      </c>
      <c r="L32" s="99"/>
      <c r="M32" s="65">
        <f>0+M33</f>
        <v>0</v>
      </c>
      <c r="N32" s="66"/>
      <c r="O32" s="65">
        <f>0+O33</f>
        <v>44100000</v>
      </c>
      <c r="P32" s="66"/>
      <c r="Q32" s="65">
        <f>0+Q33</f>
        <v>0</v>
      </c>
      <c r="R32" s="66"/>
      <c r="S32" s="65">
        <f>0+S33</f>
        <v>52800000</v>
      </c>
      <c r="T32" s="65"/>
      <c r="U32" s="65">
        <f>0+U33</f>
        <v>96900000</v>
      </c>
      <c r="V32" s="67"/>
      <c r="W32" s="67">
        <f t="shared" si="2"/>
        <v>0.99783442127148203</v>
      </c>
      <c r="X32" s="68"/>
      <c r="Y32" s="65">
        <f>U32+H32</f>
        <v>96900000</v>
      </c>
      <c r="Z32" s="69"/>
      <c r="AA32" s="65">
        <f>0+AA33</f>
        <v>0</v>
      </c>
      <c r="AB32" s="70"/>
      <c r="AC32" s="71"/>
      <c r="AD32" s="72"/>
      <c r="AE32" s="72"/>
      <c r="AF32" s="73"/>
      <c r="AG32" s="73"/>
      <c r="AH32" s="73"/>
      <c r="AI32" s="72"/>
    </row>
    <row r="33" spans="1:35" ht="54.75" customHeight="1" x14ac:dyDescent="0.25">
      <c r="A33" s="75"/>
      <c r="B33" s="76"/>
      <c r="C33" s="95" t="s">
        <v>58</v>
      </c>
      <c r="D33" s="95" t="s">
        <v>198</v>
      </c>
      <c r="E33" s="79">
        <v>0</v>
      </c>
      <c r="F33" s="80">
        <v>0</v>
      </c>
      <c r="G33" s="79">
        <v>0</v>
      </c>
      <c r="H33" s="81">
        <v>0</v>
      </c>
      <c r="I33" s="82">
        <v>45</v>
      </c>
      <c r="J33" s="83" t="s">
        <v>199</v>
      </c>
      <c r="K33" s="80">
        <v>97110300</v>
      </c>
      <c r="L33" s="85"/>
      <c r="M33" s="85"/>
      <c r="N33" s="85">
        <v>45</v>
      </c>
      <c r="O33" s="85">
        <v>44100000</v>
      </c>
      <c r="P33" s="86">
        <v>0</v>
      </c>
      <c r="Q33" s="86">
        <v>0</v>
      </c>
      <c r="R33" s="86">
        <v>0</v>
      </c>
      <c r="S33" s="86">
        <v>52800000</v>
      </c>
      <c r="T33" s="80">
        <f>SUM(L33,N33,P33,R33)</f>
        <v>45</v>
      </c>
      <c r="U33" s="80">
        <f>SUM(O33,Q33,S33)</f>
        <v>96900000</v>
      </c>
      <c r="V33" s="87">
        <f>T33/I33*100%</f>
        <v>1</v>
      </c>
      <c r="W33" s="87">
        <f t="shared" si="2"/>
        <v>0.99783442127148203</v>
      </c>
      <c r="X33" s="80">
        <f>T33+G33</f>
        <v>45</v>
      </c>
      <c r="Y33" s="80">
        <f t="shared" si="0"/>
        <v>96900000</v>
      </c>
      <c r="Z33" s="88">
        <f>IFERROR(X33/E33,0)</f>
        <v>0</v>
      </c>
      <c r="AA33" s="89">
        <f>IFERROR(Y33/F33,0)</f>
        <v>0</v>
      </c>
      <c r="AB33" s="90"/>
      <c r="AC33" s="38"/>
    </row>
    <row r="34" spans="1:35" s="74" customFormat="1" ht="52.5" customHeight="1" x14ac:dyDescent="0.25">
      <c r="A34" s="58"/>
      <c r="B34" s="59"/>
      <c r="C34" s="60" t="s">
        <v>62</v>
      </c>
      <c r="D34" s="97"/>
      <c r="E34" s="61"/>
      <c r="F34" s="62">
        <f>0+F35+F36+F37</f>
        <v>0</v>
      </c>
      <c r="G34" s="61"/>
      <c r="H34" s="62">
        <f>0+H35+H36+H37</f>
        <v>0</v>
      </c>
      <c r="I34" s="63"/>
      <c r="J34" s="64"/>
      <c r="K34" s="65">
        <f>0+K35+K36+K37</f>
        <v>520175000</v>
      </c>
      <c r="L34" s="99"/>
      <c r="M34" s="65">
        <f>0+M35+M36+M37</f>
        <v>96445126</v>
      </c>
      <c r="N34" s="66"/>
      <c r="O34" s="65">
        <f>0+O35+O36+O37</f>
        <v>228109330</v>
      </c>
      <c r="P34" s="66"/>
      <c r="Q34" s="65">
        <f>0+Q35+Q36+Q37</f>
        <v>128530467</v>
      </c>
      <c r="R34" s="66"/>
      <c r="S34" s="65">
        <f>0+S35+S36+S37</f>
        <v>150415203</v>
      </c>
      <c r="T34" s="65"/>
      <c r="U34" s="65">
        <f>0+U35+U36+U37</f>
        <v>507055000</v>
      </c>
      <c r="V34" s="67"/>
      <c r="W34" s="67">
        <f t="shared" si="2"/>
        <v>0.97477771903686261</v>
      </c>
      <c r="X34" s="68"/>
      <c r="Y34" s="65">
        <f t="shared" si="0"/>
        <v>507055000</v>
      </c>
      <c r="Z34" s="69"/>
      <c r="AA34" s="65">
        <f>0+AA35+AA36+AA37</f>
        <v>0</v>
      </c>
      <c r="AB34" s="70"/>
      <c r="AC34" s="71"/>
      <c r="AD34" s="72"/>
      <c r="AE34" s="72"/>
      <c r="AF34" s="73"/>
      <c r="AG34" s="73"/>
      <c r="AH34" s="73"/>
      <c r="AI34" s="72"/>
    </row>
    <row r="35" spans="1:35" ht="81" customHeight="1" x14ac:dyDescent="0.25">
      <c r="A35" s="75"/>
      <c r="B35" s="76"/>
      <c r="C35" s="77" t="s">
        <v>68</v>
      </c>
      <c r="D35" s="77" t="s">
        <v>200</v>
      </c>
      <c r="E35" s="79">
        <v>0</v>
      </c>
      <c r="F35" s="80">
        <v>0</v>
      </c>
      <c r="G35" s="79">
        <v>0</v>
      </c>
      <c r="H35" s="81">
        <v>0</v>
      </c>
      <c r="I35" s="82">
        <v>12</v>
      </c>
      <c r="J35" s="83" t="s">
        <v>174</v>
      </c>
      <c r="K35" s="80">
        <v>312800000</v>
      </c>
      <c r="L35" s="85">
        <v>3</v>
      </c>
      <c r="M35" s="85">
        <v>43700000</v>
      </c>
      <c r="N35" s="85">
        <v>3</v>
      </c>
      <c r="O35" s="85">
        <v>127600000</v>
      </c>
      <c r="P35" s="86">
        <v>3</v>
      </c>
      <c r="Q35" s="86">
        <v>73800000</v>
      </c>
      <c r="R35" s="86">
        <v>3</v>
      </c>
      <c r="S35" s="86">
        <v>98400000</v>
      </c>
      <c r="T35" s="80">
        <f>L35+N35+P35+R35</f>
        <v>12</v>
      </c>
      <c r="U35" s="80">
        <f>SUM(O35,Q35,S35)</f>
        <v>299800000</v>
      </c>
      <c r="V35" s="87">
        <f>T35/I35*100%</f>
        <v>1</v>
      </c>
      <c r="W35" s="87">
        <f t="shared" si="2"/>
        <v>0.9584398976982097</v>
      </c>
      <c r="X35" s="80">
        <f>T35+G35</f>
        <v>12</v>
      </c>
      <c r="Y35" s="80">
        <f t="shared" si="0"/>
        <v>299800000</v>
      </c>
      <c r="Z35" s="88">
        <f t="shared" ref="Z35:AA37" si="9">IFERROR(X35/E35,0)</f>
        <v>0</v>
      </c>
      <c r="AA35" s="89">
        <f t="shared" si="9"/>
        <v>0</v>
      </c>
      <c r="AB35" s="90"/>
      <c r="AC35" s="38"/>
    </row>
    <row r="36" spans="1:35" ht="66.75" customHeight="1" x14ac:dyDescent="0.25">
      <c r="A36" s="75"/>
      <c r="B36" s="76"/>
      <c r="C36" s="77" t="s">
        <v>201</v>
      </c>
      <c r="D36" s="95" t="s">
        <v>202</v>
      </c>
      <c r="E36" s="79">
        <v>0</v>
      </c>
      <c r="F36" s="80">
        <v>0</v>
      </c>
      <c r="G36" s="79">
        <v>0</v>
      </c>
      <c r="H36" s="81">
        <v>0</v>
      </c>
      <c r="I36" s="82">
        <v>12</v>
      </c>
      <c r="J36" s="83" t="s">
        <v>174</v>
      </c>
      <c r="K36" s="80">
        <v>204450000</v>
      </c>
      <c r="L36" s="85">
        <v>3</v>
      </c>
      <c r="M36" s="85">
        <v>52745126</v>
      </c>
      <c r="N36" s="85">
        <v>3</v>
      </c>
      <c r="O36" s="85">
        <v>99339330</v>
      </c>
      <c r="P36" s="86">
        <v>3</v>
      </c>
      <c r="Q36" s="86">
        <v>53560467</v>
      </c>
      <c r="R36" s="86">
        <v>3</v>
      </c>
      <c r="S36" s="86">
        <v>51430203</v>
      </c>
      <c r="T36" s="80">
        <f>L36+N36+P36+R36</f>
        <v>12</v>
      </c>
      <c r="U36" s="80">
        <f>SUM(O36,Q36,S36)</f>
        <v>204330000</v>
      </c>
      <c r="V36" s="87">
        <f>T36/I36*100%</f>
        <v>1</v>
      </c>
      <c r="W36" s="87">
        <f t="shared" si="2"/>
        <v>0.99941305942773295</v>
      </c>
      <c r="X36" s="80">
        <f>T36+G36</f>
        <v>12</v>
      </c>
      <c r="Y36" s="80">
        <f t="shared" si="0"/>
        <v>204330000</v>
      </c>
      <c r="Z36" s="88">
        <f t="shared" si="9"/>
        <v>0</v>
      </c>
      <c r="AA36" s="89">
        <f t="shared" si="9"/>
        <v>0</v>
      </c>
      <c r="AB36" s="90"/>
      <c r="AC36" s="38"/>
    </row>
    <row r="37" spans="1:35" ht="56.25" customHeight="1" x14ac:dyDescent="0.25">
      <c r="A37" s="75"/>
      <c r="B37" s="76"/>
      <c r="C37" s="95" t="s">
        <v>64</v>
      </c>
      <c r="D37" s="98" t="s">
        <v>203</v>
      </c>
      <c r="E37" s="79">
        <v>0</v>
      </c>
      <c r="F37" s="80">
        <v>0</v>
      </c>
      <c r="G37" s="79">
        <v>0</v>
      </c>
      <c r="H37" s="81">
        <v>0</v>
      </c>
      <c r="I37" s="82">
        <v>12</v>
      </c>
      <c r="J37" s="83" t="s">
        <v>174</v>
      </c>
      <c r="K37" s="80">
        <v>2925000</v>
      </c>
      <c r="L37" s="85">
        <v>0</v>
      </c>
      <c r="M37" s="85">
        <v>0</v>
      </c>
      <c r="N37" s="85">
        <v>6</v>
      </c>
      <c r="O37" s="85">
        <v>1170000</v>
      </c>
      <c r="P37" s="86">
        <v>3</v>
      </c>
      <c r="Q37" s="86">
        <v>1170000</v>
      </c>
      <c r="R37" s="86">
        <v>3</v>
      </c>
      <c r="S37" s="86">
        <v>585000</v>
      </c>
      <c r="T37" s="80">
        <f>L37+N37+P37+R37</f>
        <v>12</v>
      </c>
      <c r="U37" s="80">
        <f>SUM(O37,Q37,S37)</f>
        <v>2925000</v>
      </c>
      <c r="V37" s="87">
        <f>T37/I37*100%</f>
        <v>1</v>
      </c>
      <c r="W37" s="87">
        <f t="shared" si="2"/>
        <v>1</v>
      </c>
      <c r="X37" s="80">
        <f>T37+G37</f>
        <v>12</v>
      </c>
      <c r="Y37" s="80">
        <f t="shared" si="0"/>
        <v>2925000</v>
      </c>
      <c r="Z37" s="88">
        <f t="shared" si="9"/>
        <v>0</v>
      </c>
      <c r="AA37" s="89">
        <f t="shared" si="9"/>
        <v>0</v>
      </c>
      <c r="AB37" s="90"/>
      <c r="AC37" s="38"/>
    </row>
    <row r="38" spans="1:35" s="74" customFormat="1" ht="62.25" customHeight="1" x14ac:dyDescent="0.25">
      <c r="A38" s="58"/>
      <c r="B38" s="59"/>
      <c r="C38" s="60" t="s">
        <v>204</v>
      </c>
      <c r="D38" s="97"/>
      <c r="E38" s="61"/>
      <c r="F38" s="62">
        <f>0+F39+F40</f>
        <v>0</v>
      </c>
      <c r="G38" s="61"/>
      <c r="H38" s="62">
        <f>0+H39+H40</f>
        <v>0</v>
      </c>
      <c r="I38" s="63"/>
      <c r="J38" s="64"/>
      <c r="K38" s="65">
        <f>0+K39+K40+K41</f>
        <v>131950000</v>
      </c>
      <c r="L38" s="99"/>
      <c r="M38" s="65">
        <f>0+M39+M40+M41</f>
        <v>30841098</v>
      </c>
      <c r="N38" s="66"/>
      <c r="O38" s="65">
        <f>0+O39+O40+O41</f>
        <v>82553275</v>
      </c>
      <c r="P38" s="66"/>
      <c r="Q38" s="65">
        <f>0+Q39+Q40+Q41</f>
        <v>15150000</v>
      </c>
      <c r="R38" s="66"/>
      <c r="S38" s="65">
        <f>0+S39+S40+S41</f>
        <v>34246725</v>
      </c>
      <c r="T38" s="65"/>
      <c r="U38" s="65">
        <f>0+U39+U40+U41</f>
        <v>131950000</v>
      </c>
      <c r="V38" s="67"/>
      <c r="W38" s="67">
        <f t="shared" si="2"/>
        <v>1</v>
      </c>
      <c r="X38" s="68"/>
      <c r="Y38" s="65">
        <f t="shared" si="0"/>
        <v>131950000</v>
      </c>
      <c r="Z38" s="69"/>
      <c r="AA38" s="65">
        <f>0+AA39+AA40+AA41</f>
        <v>0</v>
      </c>
      <c r="AB38" s="70"/>
      <c r="AC38" s="71"/>
      <c r="AD38" s="72"/>
      <c r="AE38" s="72"/>
      <c r="AF38" s="73"/>
      <c r="AG38" s="73"/>
      <c r="AH38" s="73"/>
      <c r="AI38" s="72"/>
    </row>
    <row r="39" spans="1:35" ht="88.5" customHeight="1" x14ac:dyDescent="0.25">
      <c r="A39" s="75"/>
      <c r="B39" s="76"/>
      <c r="C39" s="77" t="s">
        <v>205</v>
      </c>
      <c r="D39" s="77" t="s">
        <v>206</v>
      </c>
      <c r="E39" s="79">
        <v>0</v>
      </c>
      <c r="F39" s="80">
        <v>0</v>
      </c>
      <c r="G39" s="79">
        <v>0</v>
      </c>
      <c r="H39" s="81">
        <v>0</v>
      </c>
      <c r="I39" s="82">
        <v>12</v>
      </c>
      <c r="J39" s="83" t="s">
        <v>174</v>
      </c>
      <c r="K39" s="80">
        <v>94520000</v>
      </c>
      <c r="L39" s="81">
        <v>3</v>
      </c>
      <c r="M39" s="85">
        <v>12931098</v>
      </c>
      <c r="N39" s="85">
        <v>3</v>
      </c>
      <c r="O39" s="85">
        <v>63173275</v>
      </c>
      <c r="P39" s="86">
        <v>3</v>
      </c>
      <c r="Q39" s="86">
        <v>12600000</v>
      </c>
      <c r="R39" s="86">
        <v>3</v>
      </c>
      <c r="S39" s="86">
        <v>18746725</v>
      </c>
      <c r="T39" s="80">
        <f>L39+N39+P39+R39</f>
        <v>12</v>
      </c>
      <c r="U39" s="80">
        <f>SUM(O39,Q39,S39)</f>
        <v>94520000</v>
      </c>
      <c r="V39" s="87">
        <f>T39/I39*100%</f>
        <v>1</v>
      </c>
      <c r="W39" s="87">
        <f t="shared" si="2"/>
        <v>1</v>
      </c>
      <c r="X39" s="80">
        <f>T39+G39</f>
        <v>12</v>
      </c>
      <c r="Y39" s="80">
        <f t="shared" si="0"/>
        <v>94520000</v>
      </c>
      <c r="Z39" s="88">
        <f t="shared" ref="Z39:AA41" si="10">IFERROR(X39/E39,0)</f>
        <v>0</v>
      </c>
      <c r="AA39" s="89">
        <f t="shared" si="10"/>
        <v>0</v>
      </c>
      <c r="AB39" s="90"/>
      <c r="AC39" s="38"/>
    </row>
    <row r="40" spans="1:35" ht="63.75" customHeight="1" x14ac:dyDescent="0.25">
      <c r="A40" s="75"/>
      <c r="B40" s="76"/>
      <c r="C40" s="77" t="s">
        <v>74</v>
      </c>
      <c r="D40" s="77" t="s">
        <v>207</v>
      </c>
      <c r="E40" s="79">
        <v>0</v>
      </c>
      <c r="F40" s="80">
        <v>0</v>
      </c>
      <c r="G40" s="79">
        <v>0</v>
      </c>
      <c r="H40" s="81">
        <v>0</v>
      </c>
      <c r="I40" s="82">
        <v>12</v>
      </c>
      <c r="J40" s="83" t="s">
        <v>174</v>
      </c>
      <c r="K40" s="80">
        <v>27430000</v>
      </c>
      <c r="L40" s="81">
        <v>3</v>
      </c>
      <c r="M40" s="85">
        <v>17910000</v>
      </c>
      <c r="N40" s="85">
        <v>3</v>
      </c>
      <c r="O40" s="85">
        <v>19380000</v>
      </c>
      <c r="P40" s="86">
        <v>3</v>
      </c>
      <c r="Q40" s="86">
        <v>2550000</v>
      </c>
      <c r="R40" s="86">
        <v>1</v>
      </c>
      <c r="S40" s="86">
        <v>5500000</v>
      </c>
      <c r="T40" s="80">
        <v>12</v>
      </c>
      <c r="U40" s="80">
        <f>SUM(O40,Q40,S40)</f>
        <v>27430000</v>
      </c>
      <c r="V40" s="87">
        <f>T40/I40*100%</f>
        <v>1</v>
      </c>
      <c r="W40" s="87">
        <f t="shared" si="2"/>
        <v>1</v>
      </c>
      <c r="X40" s="80">
        <f>T40+G40</f>
        <v>12</v>
      </c>
      <c r="Y40" s="80">
        <f t="shared" si="0"/>
        <v>27430000</v>
      </c>
      <c r="Z40" s="88">
        <f t="shared" si="10"/>
        <v>0</v>
      </c>
      <c r="AA40" s="89">
        <f t="shared" si="10"/>
        <v>0</v>
      </c>
      <c r="AB40" s="90"/>
      <c r="AC40" s="38"/>
    </row>
    <row r="41" spans="1:35" s="108" customFormat="1" ht="91.5" customHeight="1" x14ac:dyDescent="0.25">
      <c r="A41" s="100"/>
      <c r="B41" s="101"/>
      <c r="C41" s="102" t="s">
        <v>208</v>
      </c>
      <c r="D41" s="95" t="s">
        <v>209</v>
      </c>
      <c r="E41" s="79">
        <v>0</v>
      </c>
      <c r="F41" s="80">
        <v>0</v>
      </c>
      <c r="G41" s="79">
        <v>0</v>
      </c>
      <c r="H41" s="81">
        <v>0</v>
      </c>
      <c r="I41" s="82">
        <v>3</v>
      </c>
      <c r="J41" s="83" t="s">
        <v>210</v>
      </c>
      <c r="K41" s="81">
        <v>10000000</v>
      </c>
      <c r="L41" s="103" t="s">
        <v>162</v>
      </c>
      <c r="M41" s="103">
        <v>0</v>
      </c>
      <c r="N41" s="85"/>
      <c r="O41" s="85"/>
      <c r="P41" s="86">
        <v>0</v>
      </c>
      <c r="Q41" s="86">
        <v>0</v>
      </c>
      <c r="R41" s="86">
        <v>3</v>
      </c>
      <c r="S41" s="86">
        <v>10000000</v>
      </c>
      <c r="T41" s="80">
        <f t="shared" ref="T41:U41" si="11">SUM(L41,N41,P41,R41)</f>
        <v>3</v>
      </c>
      <c r="U41" s="80">
        <f t="shared" si="11"/>
        <v>10000000</v>
      </c>
      <c r="V41" s="87">
        <f>T41/I41*100%</f>
        <v>1</v>
      </c>
      <c r="W41" s="87">
        <f t="shared" si="2"/>
        <v>1</v>
      </c>
      <c r="X41" s="80">
        <f>T41+G41</f>
        <v>3</v>
      </c>
      <c r="Y41" s="80">
        <f t="shared" si="0"/>
        <v>10000000</v>
      </c>
      <c r="Z41" s="88">
        <f t="shared" si="10"/>
        <v>0</v>
      </c>
      <c r="AA41" s="89">
        <f t="shared" si="10"/>
        <v>0</v>
      </c>
      <c r="AB41" s="104"/>
      <c r="AC41" s="105"/>
      <c r="AD41" s="106"/>
      <c r="AE41" s="106"/>
      <c r="AF41" s="107"/>
      <c r="AG41" s="107"/>
      <c r="AH41" s="107"/>
      <c r="AI41" s="106"/>
    </row>
    <row r="42" spans="1:35" s="117" customFormat="1" ht="91.5" customHeight="1" x14ac:dyDescent="0.25">
      <c r="A42" s="109"/>
      <c r="B42" s="110"/>
      <c r="C42" s="111" t="s">
        <v>211</v>
      </c>
      <c r="D42" s="112"/>
      <c r="E42" s="61"/>
      <c r="F42" s="62"/>
      <c r="G42" s="61"/>
      <c r="H42" s="62"/>
      <c r="I42" s="63"/>
      <c r="J42" s="64"/>
      <c r="K42" s="65">
        <f>0+K43+K44+K45+K46+K47+K48+K49</f>
        <v>2434944752</v>
      </c>
      <c r="L42" s="65"/>
      <c r="M42" s="65">
        <f>0+M43+M44+M45+M46+M47+M48+M49</f>
        <v>101603200</v>
      </c>
      <c r="N42" s="66"/>
      <c r="O42" s="65">
        <f>0+O43+O44+O45+O46+O47+O48+O49</f>
        <v>688935272</v>
      </c>
      <c r="P42" s="66"/>
      <c r="Q42" s="65">
        <f>0+Q43+Q44+Q45+Q46+Q47+Q48+Q49</f>
        <v>596733052</v>
      </c>
      <c r="R42" s="66"/>
      <c r="S42" s="65">
        <f>0+S43+S44+S45+S46+S47+S48+S49</f>
        <v>1144492659</v>
      </c>
      <c r="T42" s="113"/>
      <c r="U42" s="65">
        <f>0+U43+U44+U45+U46+U47+U48+U49</f>
        <v>2430160983</v>
      </c>
      <c r="V42" s="67"/>
      <c r="W42" s="67">
        <f t="shared" si="2"/>
        <v>0.99803536856593122</v>
      </c>
      <c r="X42" s="68"/>
      <c r="Y42" s="65">
        <f t="shared" si="0"/>
        <v>2430160983</v>
      </c>
      <c r="Z42" s="69"/>
      <c r="AA42" s="65">
        <f>0+AA43+AA44+AA45+AA46+AA47+AA48+AA49</f>
        <v>0</v>
      </c>
      <c r="AB42" s="70"/>
      <c r="AC42" s="114"/>
      <c r="AD42" s="115"/>
      <c r="AE42" s="115"/>
      <c r="AF42" s="116"/>
      <c r="AG42" s="116"/>
      <c r="AH42" s="116"/>
      <c r="AI42" s="115"/>
    </row>
    <row r="43" spans="1:35" s="108" customFormat="1" ht="91.5" customHeight="1" x14ac:dyDescent="0.25">
      <c r="A43" s="100"/>
      <c r="B43" s="101"/>
      <c r="C43" s="118" t="s">
        <v>212</v>
      </c>
      <c r="D43" s="98" t="s">
        <v>213</v>
      </c>
      <c r="E43" s="79">
        <v>0</v>
      </c>
      <c r="F43" s="80">
        <v>0</v>
      </c>
      <c r="G43" s="79">
        <v>0</v>
      </c>
      <c r="H43" s="81">
        <v>0</v>
      </c>
      <c r="I43" s="82">
        <v>4</v>
      </c>
      <c r="J43" s="83" t="s">
        <v>214</v>
      </c>
      <c r="K43" s="81">
        <v>308613045</v>
      </c>
      <c r="L43" s="81" t="s">
        <v>162</v>
      </c>
      <c r="M43" s="81">
        <v>45593200</v>
      </c>
      <c r="N43" s="85">
        <v>2</v>
      </c>
      <c r="O43" s="85">
        <v>86299000</v>
      </c>
      <c r="P43" s="86">
        <v>0</v>
      </c>
      <c r="Q43" s="86">
        <v>51387000</v>
      </c>
      <c r="R43" s="86">
        <v>2</v>
      </c>
      <c r="S43" s="86">
        <v>169350000</v>
      </c>
      <c r="T43" s="80">
        <f t="shared" ref="T43:T44" si="12">SUM(L43,N43,P43,R43)</f>
        <v>4</v>
      </c>
      <c r="U43" s="80">
        <f t="shared" ref="U43:U48" si="13">SUM(O43,Q43,S43)</f>
        <v>307036000</v>
      </c>
      <c r="V43" s="87">
        <f>T43/I43*100%</f>
        <v>1</v>
      </c>
      <c r="W43" s="87">
        <f t="shared" si="2"/>
        <v>0.99488989520841542</v>
      </c>
      <c r="X43" s="80">
        <f t="shared" ref="X43:X49" si="14">T43+G43</f>
        <v>4</v>
      </c>
      <c r="Y43" s="80">
        <f t="shared" si="0"/>
        <v>307036000</v>
      </c>
      <c r="Z43" s="88">
        <f t="shared" ref="Z43:AA49" si="15">IFERROR(X43/E43,0)</f>
        <v>0</v>
      </c>
      <c r="AA43" s="89">
        <f t="shared" si="15"/>
        <v>0</v>
      </c>
      <c r="AB43" s="104"/>
      <c r="AC43" s="105"/>
      <c r="AD43" s="106"/>
      <c r="AE43" s="106"/>
      <c r="AF43" s="107"/>
      <c r="AG43" s="107"/>
      <c r="AH43" s="107"/>
      <c r="AI43" s="106"/>
    </row>
    <row r="44" spans="1:35" s="108" customFormat="1" ht="91.5" customHeight="1" x14ac:dyDescent="0.25">
      <c r="A44" s="100"/>
      <c r="B44" s="101"/>
      <c r="C44" s="118" t="s">
        <v>82</v>
      </c>
      <c r="D44" s="98" t="s">
        <v>215</v>
      </c>
      <c r="E44" s="79">
        <v>0</v>
      </c>
      <c r="F44" s="80">
        <v>0</v>
      </c>
      <c r="G44" s="79">
        <v>0</v>
      </c>
      <c r="H44" s="81">
        <v>0</v>
      </c>
      <c r="I44" s="82">
        <v>2</v>
      </c>
      <c r="J44" s="83" t="s">
        <v>216</v>
      </c>
      <c r="K44" s="81">
        <v>414982380</v>
      </c>
      <c r="L44" s="81" t="s">
        <v>162</v>
      </c>
      <c r="M44" s="81">
        <v>37400000</v>
      </c>
      <c r="N44" s="85">
        <v>1</v>
      </c>
      <c r="O44" s="85">
        <v>109093073</v>
      </c>
      <c r="P44" s="86">
        <v>0</v>
      </c>
      <c r="Q44" s="86">
        <v>100864307</v>
      </c>
      <c r="R44" s="86">
        <v>1</v>
      </c>
      <c r="S44" s="86">
        <v>204381330</v>
      </c>
      <c r="T44" s="80">
        <f t="shared" si="12"/>
        <v>2</v>
      </c>
      <c r="U44" s="80">
        <f t="shared" si="13"/>
        <v>414338710</v>
      </c>
      <c r="V44" s="87">
        <f>T44/I44*100%</f>
        <v>1</v>
      </c>
      <c r="W44" s="87">
        <f t="shared" si="2"/>
        <v>0.99844892209640324</v>
      </c>
      <c r="X44" s="80">
        <f t="shared" si="14"/>
        <v>2</v>
      </c>
      <c r="Y44" s="80">
        <f t="shared" si="0"/>
        <v>414338710</v>
      </c>
      <c r="Z44" s="88">
        <f t="shared" si="15"/>
        <v>0</v>
      </c>
      <c r="AA44" s="89">
        <f t="shared" si="15"/>
        <v>0</v>
      </c>
      <c r="AB44" s="104"/>
      <c r="AC44" s="105"/>
      <c r="AD44" s="106"/>
      <c r="AE44" s="106"/>
      <c r="AF44" s="107"/>
      <c r="AG44" s="107"/>
      <c r="AH44" s="107"/>
      <c r="AI44" s="106"/>
    </row>
    <row r="45" spans="1:35" s="108" customFormat="1" ht="91.5" customHeight="1" x14ac:dyDescent="0.25">
      <c r="A45" s="100"/>
      <c r="B45" s="101"/>
      <c r="C45" s="118" t="s">
        <v>84</v>
      </c>
      <c r="D45" s="98" t="s">
        <v>217</v>
      </c>
      <c r="E45" s="79">
        <v>0</v>
      </c>
      <c r="F45" s="80">
        <v>0</v>
      </c>
      <c r="G45" s="79">
        <v>0</v>
      </c>
      <c r="H45" s="81">
        <v>0</v>
      </c>
      <c r="I45" s="119" t="s">
        <v>218</v>
      </c>
      <c r="J45" s="83" t="s">
        <v>219</v>
      </c>
      <c r="K45" s="81">
        <v>51339300</v>
      </c>
      <c r="L45" s="120" t="s">
        <v>162</v>
      </c>
      <c r="M45" s="81">
        <v>6000000</v>
      </c>
      <c r="N45" s="84" t="s">
        <v>220</v>
      </c>
      <c r="O45" s="85">
        <v>29944700</v>
      </c>
      <c r="P45" s="86">
        <v>0</v>
      </c>
      <c r="Q45" s="86">
        <v>9000000</v>
      </c>
      <c r="R45" s="121" t="s">
        <v>221</v>
      </c>
      <c r="S45" s="86">
        <v>12000000</v>
      </c>
      <c r="T45" s="80">
        <f>N45+R45</f>
        <v>0.79999999999999993</v>
      </c>
      <c r="U45" s="80">
        <f t="shared" si="13"/>
        <v>50944700</v>
      </c>
      <c r="V45" s="87">
        <f>T45/I45*100%*0.8</f>
        <v>0.79999999999999993</v>
      </c>
      <c r="W45" s="87">
        <f t="shared" si="2"/>
        <v>0.99231388039961588</v>
      </c>
      <c r="X45" s="122">
        <f>T45</f>
        <v>0.79999999999999993</v>
      </c>
      <c r="Y45" s="80">
        <f t="shared" si="0"/>
        <v>50944700</v>
      </c>
      <c r="Z45" s="88">
        <f t="shared" si="15"/>
        <v>0</v>
      </c>
      <c r="AA45" s="89">
        <f t="shared" si="15"/>
        <v>0</v>
      </c>
      <c r="AB45" s="104"/>
      <c r="AC45" s="105"/>
      <c r="AD45" s="106"/>
      <c r="AE45" s="106"/>
      <c r="AF45" s="107"/>
      <c r="AG45" s="107"/>
      <c r="AH45" s="107"/>
      <c r="AI45" s="106"/>
    </row>
    <row r="46" spans="1:35" s="108" customFormat="1" ht="91.5" customHeight="1" x14ac:dyDescent="0.25">
      <c r="A46" s="100"/>
      <c r="B46" s="101"/>
      <c r="C46" s="118" t="s">
        <v>222</v>
      </c>
      <c r="D46" s="98" t="s">
        <v>223</v>
      </c>
      <c r="E46" s="79">
        <v>0</v>
      </c>
      <c r="F46" s="80">
        <v>0</v>
      </c>
      <c r="G46" s="79">
        <v>0</v>
      </c>
      <c r="H46" s="81">
        <v>0</v>
      </c>
      <c r="I46" s="82">
        <v>4</v>
      </c>
      <c r="J46" s="83" t="s">
        <v>224</v>
      </c>
      <c r="K46" s="81">
        <v>1416780000</v>
      </c>
      <c r="L46" s="81" t="s">
        <v>162</v>
      </c>
      <c r="M46" s="81">
        <v>8590000</v>
      </c>
      <c r="N46" s="85">
        <v>2</v>
      </c>
      <c r="O46" s="85">
        <v>360570000</v>
      </c>
      <c r="P46" s="86">
        <v>0</v>
      </c>
      <c r="Q46" s="86">
        <v>383688449</v>
      </c>
      <c r="R46" s="86">
        <v>2</v>
      </c>
      <c r="S46" s="86">
        <v>671470979</v>
      </c>
      <c r="T46" s="80">
        <f t="shared" ref="T46:U49" si="16">SUM(L46,N46,P46,R46)</f>
        <v>4</v>
      </c>
      <c r="U46" s="80">
        <f t="shared" si="13"/>
        <v>1415729428</v>
      </c>
      <c r="V46" s="87">
        <f>T46/I46*100%</f>
        <v>1</v>
      </c>
      <c r="W46" s="87">
        <f t="shared" si="2"/>
        <v>0.99925847908637899</v>
      </c>
      <c r="X46" s="80">
        <f t="shared" si="14"/>
        <v>4</v>
      </c>
      <c r="Y46" s="80">
        <f t="shared" si="0"/>
        <v>1415729428</v>
      </c>
      <c r="Z46" s="88">
        <f t="shared" si="15"/>
        <v>0</v>
      </c>
      <c r="AA46" s="89">
        <f t="shared" si="15"/>
        <v>0</v>
      </c>
      <c r="AB46" s="104"/>
      <c r="AC46" s="105"/>
      <c r="AD46" s="106"/>
      <c r="AE46" s="106"/>
      <c r="AF46" s="107"/>
      <c r="AG46" s="107"/>
      <c r="AH46" s="107"/>
      <c r="AI46" s="106"/>
    </row>
    <row r="47" spans="1:35" s="108" customFormat="1" ht="91.5" customHeight="1" x14ac:dyDescent="0.25">
      <c r="A47" s="100"/>
      <c r="B47" s="101"/>
      <c r="C47" s="118" t="s">
        <v>225</v>
      </c>
      <c r="D47" s="98" t="s">
        <v>226</v>
      </c>
      <c r="E47" s="79">
        <v>0</v>
      </c>
      <c r="F47" s="80">
        <v>0</v>
      </c>
      <c r="G47" s="79">
        <v>0</v>
      </c>
      <c r="H47" s="81">
        <v>0</v>
      </c>
      <c r="I47" s="82">
        <v>7</v>
      </c>
      <c r="J47" s="83" t="s">
        <v>227</v>
      </c>
      <c r="K47" s="81">
        <v>47400000</v>
      </c>
      <c r="L47" s="81" t="s">
        <v>162</v>
      </c>
      <c r="M47" s="81">
        <v>4020000</v>
      </c>
      <c r="N47" s="85">
        <v>5</v>
      </c>
      <c r="O47" s="85">
        <v>39359900</v>
      </c>
      <c r="P47" s="86">
        <v>0</v>
      </c>
      <c r="Q47" s="86">
        <v>3600000</v>
      </c>
      <c r="R47" s="86">
        <v>2</v>
      </c>
      <c r="S47" s="86">
        <v>3900000</v>
      </c>
      <c r="T47" s="80">
        <f t="shared" si="16"/>
        <v>7</v>
      </c>
      <c r="U47" s="80">
        <f t="shared" si="13"/>
        <v>46859900</v>
      </c>
      <c r="V47" s="87">
        <f>T47/I47*100%</f>
        <v>1</v>
      </c>
      <c r="W47" s="87">
        <f t="shared" si="2"/>
        <v>0.98860548523206748</v>
      </c>
      <c r="X47" s="80">
        <f t="shared" si="14"/>
        <v>7</v>
      </c>
      <c r="Y47" s="80">
        <f t="shared" si="0"/>
        <v>46859900</v>
      </c>
      <c r="Z47" s="88">
        <f t="shared" si="15"/>
        <v>0</v>
      </c>
      <c r="AA47" s="89">
        <f t="shared" si="15"/>
        <v>0</v>
      </c>
      <c r="AB47" s="104"/>
      <c r="AC47" s="105"/>
      <c r="AD47" s="106"/>
      <c r="AE47" s="106"/>
      <c r="AF47" s="107"/>
      <c r="AG47" s="107"/>
      <c r="AH47" s="107"/>
      <c r="AI47" s="106"/>
    </row>
    <row r="48" spans="1:35" s="108" customFormat="1" ht="91.5" customHeight="1" x14ac:dyDescent="0.25">
      <c r="A48" s="100"/>
      <c r="B48" s="101"/>
      <c r="C48" s="118" t="s">
        <v>228</v>
      </c>
      <c r="D48" s="98" t="s">
        <v>229</v>
      </c>
      <c r="E48" s="79">
        <v>0</v>
      </c>
      <c r="F48" s="80">
        <v>0</v>
      </c>
      <c r="G48" s="79">
        <v>0</v>
      </c>
      <c r="H48" s="81">
        <v>0</v>
      </c>
      <c r="I48" s="82">
        <v>6</v>
      </c>
      <c r="J48" s="83" t="s">
        <v>230</v>
      </c>
      <c r="K48" s="81">
        <v>120632423</v>
      </c>
      <c r="L48" s="81"/>
      <c r="M48" s="81"/>
      <c r="N48" s="85">
        <v>3</v>
      </c>
      <c r="O48" s="85">
        <v>15025600</v>
      </c>
      <c r="P48" s="86">
        <v>0</v>
      </c>
      <c r="Q48" s="86">
        <v>21985483</v>
      </c>
      <c r="R48" s="86">
        <v>3</v>
      </c>
      <c r="S48" s="86">
        <v>83390350</v>
      </c>
      <c r="T48" s="80">
        <f t="shared" si="16"/>
        <v>6</v>
      </c>
      <c r="U48" s="80">
        <f t="shared" si="13"/>
        <v>120401433</v>
      </c>
      <c r="V48" s="87">
        <f>T48/I48*100%</f>
        <v>1</v>
      </c>
      <c r="W48" s="87">
        <f t="shared" si="2"/>
        <v>0.99808517482899273</v>
      </c>
      <c r="X48" s="80">
        <f t="shared" si="14"/>
        <v>6</v>
      </c>
      <c r="Y48" s="80">
        <f t="shared" si="0"/>
        <v>120401433</v>
      </c>
      <c r="Z48" s="88">
        <f t="shared" si="15"/>
        <v>0</v>
      </c>
      <c r="AA48" s="89">
        <f t="shared" si="15"/>
        <v>0</v>
      </c>
      <c r="AB48" s="104"/>
      <c r="AC48" s="105"/>
      <c r="AD48" s="106"/>
      <c r="AE48" s="106"/>
      <c r="AF48" s="107"/>
      <c r="AG48" s="107"/>
      <c r="AH48" s="107"/>
      <c r="AI48" s="106"/>
    </row>
    <row r="49" spans="1:35" s="108" customFormat="1" ht="91.5" customHeight="1" x14ac:dyDescent="0.25">
      <c r="A49" s="100"/>
      <c r="B49" s="101"/>
      <c r="C49" s="118" t="s">
        <v>231</v>
      </c>
      <c r="D49" s="98" t="s">
        <v>232</v>
      </c>
      <c r="E49" s="79">
        <v>0</v>
      </c>
      <c r="F49" s="80">
        <v>0</v>
      </c>
      <c r="G49" s="79">
        <v>0</v>
      </c>
      <c r="H49" s="81">
        <v>0</v>
      </c>
      <c r="I49" s="82">
        <v>2</v>
      </c>
      <c r="J49" s="83" t="s">
        <v>199</v>
      </c>
      <c r="K49" s="81">
        <v>75197604</v>
      </c>
      <c r="L49" s="81"/>
      <c r="M49" s="81"/>
      <c r="N49" s="85">
        <v>1</v>
      </c>
      <c r="O49" s="85">
        <v>48642999</v>
      </c>
      <c r="P49" s="86"/>
      <c r="Q49" s="86">
        <v>26207813</v>
      </c>
      <c r="R49" s="86">
        <v>1</v>
      </c>
      <c r="S49" s="86">
        <v>0</v>
      </c>
      <c r="T49" s="80">
        <f t="shared" si="16"/>
        <v>2</v>
      </c>
      <c r="U49" s="80">
        <f t="shared" si="16"/>
        <v>74850812</v>
      </c>
      <c r="V49" s="87">
        <f>T49/I49*100%</f>
        <v>1</v>
      </c>
      <c r="W49" s="87">
        <f t="shared" si="2"/>
        <v>0.99538825731734748</v>
      </c>
      <c r="X49" s="80">
        <f t="shared" si="14"/>
        <v>2</v>
      </c>
      <c r="Y49" s="80">
        <f t="shared" si="0"/>
        <v>74850812</v>
      </c>
      <c r="Z49" s="88">
        <f t="shared" si="15"/>
        <v>0</v>
      </c>
      <c r="AA49" s="89">
        <f t="shared" si="15"/>
        <v>0</v>
      </c>
      <c r="AB49" s="104"/>
      <c r="AC49" s="105"/>
      <c r="AD49" s="106"/>
      <c r="AE49" s="106"/>
      <c r="AF49" s="107"/>
      <c r="AG49" s="107"/>
      <c r="AH49" s="107"/>
      <c r="AI49" s="106"/>
    </row>
    <row r="50" spans="1:35" s="117" customFormat="1" ht="91.5" customHeight="1" x14ac:dyDescent="0.25">
      <c r="A50" s="109"/>
      <c r="B50" s="110"/>
      <c r="C50" s="111" t="s">
        <v>233</v>
      </c>
      <c r="D50" s="112"/>
      <c r="E50" s="61"/>
      <c r="F50" s="62"/>
      <c r="G50" s="61"/>
      <c r="H50" s="62"/>
      <c r="I50" s="63"/>
      <c r="J50" s="64"/>
      <c r="K50" s="65">
        <f>0+K51+K52</f>
        <v>2370260946</v>
      </c>
      <c r="L50" s="62"/>
      <c r="M50" s="65">
        <f>0+M51+M52</f>
        <v>22340000</v>
      </c>
      <c r="N50" s="66"/>
      <c r="O50" s="65">
        <f>0+O51+O52</f>
        <v>995681400</v>
      </c>
      <c r="P50" s="66"/>
      <c r="Q50" s="65">
        <f>0+Q51+Q52</f>
        <v>585758400</v>
      </c>
      <c r="R50" s="66"/>
      <c r="S50" s="65">
        <f>0+S51+S52</f>
        <v>784686000</v>
      </c>
      <c r="T50" s="62"/>
      <c r="U50" s="65">
        <f>0+U51+U52</f>
        <v>2366125800</v>
      </c>
      <c r="V50" s="67"/>
      <c r="W50" s="67">
        <f t="shared" si="2"/>
        <v>0.99825540474479046</v>
      </c>
      <c r="X50" s="68"/>
      <c r="Y50" s="65">
        <f t="shared" si="0"/>
        <v>2366125800</v>
      </c>
      <c r="Z50" s="69"/>
      <c r="AA50" s="65">
        <f>0+AA51+AA52</f>
        <v>0</v>
      </c>
      <c r="AB50" s="70"/>
      <c r="AC50" s="114"/>
      <c r="AD50" s="115"/>
      <c r="AE50" s="115"/>
      <c r="AF50" s="116"/>
      <c r="AG50" s="116"/>
      <c r="AH50" s="116"/>
      <c r="AI50" s="115"/>
    </row>
    <row r="51" spans="1:35" s="108" customFormat="1" ht="91.5" customHeight="1" x14ac:dyDescent="0.25">
      <c r="A51" s="100"/>
      <c r="B51" s="101"/>
      <c r="C51" s="118" t="s">
        <v>234</v>
      </c>
      <c r="D51" s="98" t="s">
        <v>235</v>
      </c>
      <c r="E51" s="79">
        <v>0</v>
      </c>
      <c r="F51" s="80">
        <v>0</v>
      </c>
      <c r="G51" s="79">
        <v>0</v>
      </c>
      <c r="H51" s="81">
        <v>0</v>
      </c>
      <c r="I51" s="82">
        <v>5</v>
      </c>
      <c r="J51" s="83" t="s">
        <v>236</v>
      </c>
      <c r="K51" s="81">
        <v>9523250</v>
      </c>
      <c r="L51" s="81" t="s">
        <v>162</v>
      </c>
      <c r="M51" s="81">
        <v>900000</v>
      </c>
      <c r="N51" s="85">
        <v>2</v>
      </c>
      <c r="O51" s="85">
        <v>3840000</v>
      </c>
      <c r="P51" s="86">
        <v>0</v>
      </c>
      <c r="Q51" s="86">
        <v>3990000</v>
      </c>
      <c r="R51" s="86">
        <v>3</v>
      </c>
      <c r="S51" s="86">
        <v>1172000</v>
      </c>
      <c r="T51" s="80">
        <f t="shared" ref="T51:T52" si="17">SUM(L51,N51,P51,R51)</f>
        <v>5</v>
      </c>
      <c r="U51" s="80">
        <f>SUM(O51,Q51,S51)</f>
        <v>9002000</v>
      </c>
      <c r="V51" s="87">
        <f>T51/I51*100%</f>
        <v>1</v>
      </c>
      <c r="W51" s="87">
        <f t="shared" si="2"/>
        <v>0.94526553435014304</v>
      </c>
      <c r="X51" s="80">
        <f>T51+G51</f>
        <v>5</v>
      </c>
      <c r="Y51" s="80">
        <f t="shared" si="0"/>
        <v>9002000</v>
      </c>
      <c r="Z51" s="88">
        <f>IFERROR(X51/E51,0)</f>
        <v>0</v>
      </c>
      <c r="AA51" s="89">
        <f>IFERROR(Y51/F51,0)</f>
        <v>0</v>
      </c>
      <c r="AB51" s="104"/>
      <c r="AC51" s="105"/>
      <c r="AD51" s="106"/>
      <c r="AE51" s="106"/>
      <c r="AF51" s="107"/>
      <c r="AG51" s="107"/>
      <c r="AH51" s="107"/>
      <c r="AI51" s="106"/>
    </row>
    <row r="52" spans="1:35" s="108" customFormat="1" ht="91.5" customHeight="1" x14ac:dyDescent="0.25">
      <c r="A52" s="100"/>
      <c r="B52" s="101"/>
      <c r="C52" s="118" t="s">
        <v>237</v>
      </c>
      <c r="D52" s="98" t="s">
        <v>238</v>
      </c>
      <c r="E52" s="79">
        <v>0</v>
      </c>
      <c r="F52" s="80">
        <v>0</v>
      </c>
      <c r="G52" s="79">
        <v>0</v>
      </c>
      <c r="H52" s="81">
        <v>0</v>
      </c>
      <c r="I52" s="82">
        <v>90</v>
      </c>
      <c r="J52" s="83" t="s">
        <v>239</v>
      </c>
      <c r="K52" s="81">
        <v>2360737696</v>
      </c>
      <c r="L52" s="81" t="s">
        <v>162</v>
      </c>
      <c r="M52" s="81">
        <v>21440000</v>
      </c>
      <c r="N52" s="85">
        <v>90</v>
      </c>
      <c r="O52" s="85">
        <v>991841400</v>
      </c>
      <c r="P52" s="86">
        <v>0</v>
      </c>
      <c r="Q52" s="86">
        <v>581768400</v>
      </c>
      <c r="R52" s="86">
        <v>0</v>
      </c>
      <c r="S52" s="86">
        <v>783514000</v>
      </c>
      <c r="T52" s="80">
        <f t="shared" si="17"/>
        <v>90</v>
      </c>
      <c r="U52" s="80">
        <f>SUM(O52,Q52,S52)</f>
        <v>2357123800</v>
      </c>
      <c r="V52" s="87">
        <f>T52/I52*100%</f>
        <v>1</v>
      </c>
      <c r="W52" s="87">
        <f t="shared" si="2"/>
        <v>0.99846916664815266</v>
      </c>
      <c r="X52" s="80">
        <f>T52+G52</f>
        <v>90</v>
      </c>
      <c r="Y52" s="80">
        <f t="shared" si="0"/>
        <v>2357123800</v>
      </c>
      <c r="Z52" s="88">
        <f>IFERROR(X52/E52,0)</f>
        <v>0</v>
      </c>
      <c r="AA52" s="89">
        <f>IFERROR(Y52/F52,0)</f>
        <v>0</v>
      </c>
      <c r="AB52" s="104"/>
      <c r="AC52" s="105"/>
      <c r="AD52" s="106"/>
      <c r="AE52" s="106"/>
      <c r="AF52" s="107"/>
      <c r="AG52" s="107"/>
      <c r="AH52" s="107"/>
      <c r="AI52" s="106"/>
    </row>
    <row r="53" spans="1:35" s="117" customFormat="1" ht="91.5" customHeight="1" x14ac:dyDescent="0.25">
      <c r="A53" s="109"/>
      <c r="B53" s="110"/>
      <c r="C53" s="111" t="s">
        <v>240</v>
      </c>
      <c r="D53" s="112"/>
      <c r="E53" s="61"/>
      <c r="F53" s="62"/>
      <c r="G53" s="61"/>
      <c r="H53" s="62"/>
      <c r="I53" s="63"/>
      <c r="J53" s="64"/>
      <c r="K53" s="65">
        <f>0+K54+K55+K56+K57+K58+K59+K61+K60</f>
        <v>1140290715</v>
      </c>
      <c r="L53" s="65"/>
      <c r="M53" s="65">
        <f>0+M54+M55+M56+M57+M58+M59+M61</f>
        <v>72079500</v>
      </c>
      <c r="N53" s="66"/>
      <c r="O53" s="65">
        <f>0+O54+O55+O56+O57+O58+O59+O61</f>
        <v>394619500</v>
      </c>
      <c r="P53" s="66"/>
      <c r="Q53" s="65">
        <f>0+Q54+Q55+Q56+Q57+Q58+Q59+Q61</f>
        <v>141980400</v>
      </c>
      <c r="R53" s="66"/>
      <c r="S53" s="65">
        <f>0+S54+S55+S56+S57+S58+S59+S61+S60</f>
        <v>527934419</v>
      </c>
      <c r="T53" s="113"/>
      <c r="U53" s="65">
        <f>0+U54+U55+U56+U57+U58+U59+U61+U60</f>
        <v>1064534319</v>
      </c>
      <c r="V53" s="67"/>
      <c r="W53" s="67">
        <f>U53/K53*100%</f>
        <v>0.93356396311619538</v>
      </c>
      <c r="X53" s="68"/>
      <c r="Y53" s="65">
        <f t="shared" si="0"/>
        <v>1064534319</v>
      </c>
      <c r="Z53" s="69"/>
      <c r="AA53" s="65">
        <f>0+AA54+AA55+AA56+AA57+AA58+AA59+AA61</f>
        <v>0</v>
      </c>
      <c r="AB53" s="70"/>
      <c r="AC53" s="114"/>
      <c r="AD53" s="115"/>
      <c r="AE53" s="115"/>
      <c r="AF53" s="116"/>
      <c r="AG53" s="116"/>
      <c r="AH53" s="116"/>
      <c r="AI53" s="115"/>
    </row>
    <row r="54" spans="1:35" s="108" customFormat="1" ht="91.5" customHeight="1" x14ac:dyDescent="0.25">
      <c r="A54" s="100"/>
      <c r="B54" s="101"/>
      <c r="C54" s="118" t="s">
        <v>241</v>
      </c>
      <c r="D54" s="98" t="s">
        <v>242</v>
      </c>
      <c r="E54" s="79">
        <v>0</v>
      </c>
      <c r="F54" s="80">
        <v>0</v>
      </c>
      <c r="G54" s="79">
        <v>0</v>
      </c>
      <c r="H54" s="81">
        <v>0</v>
      </c>
      <c r="I54" s="82">
        <v>7</v>
      </c>
      <c r="J54" s="83" t="s">
        <v>243</v>
      </c>
      <c r="K54" s="81">
        <v>217010000</v>
      </c>
      <c r="L54" s="81" t="s">
        <v>162</v>
      </c>
      <c r="M54" s="81">
        <v>35860000</v>
      </c>
      <c r="N54" s="85">
        <v>4</v>
      </c>
      <c r="O54" s="85">
        <v>90640000</v>
      </c>
      <c r="P54" s="86">
        <v>0</v>
      </c>
      <c r="Q54" s="86">
        <v>57550000</v>
      </c>
      <c r="R54" s="86">
        <v>3</v>
      </c>
      <c r="S54" s="86">
        <v>68440000</v>
      </c>
      <c r="T54" s="80">
        <f t="shared" ref="T54:U61" si="18">SUM(L54,N54,P54,R54)</f>
        <v>7</v>
      </c>
      <c r="U54" s="80">
        <f>SUM(O54,Q54,S54)</f>
        <v>216630000</v>
      </c>
      <c r="V54" s="87">
        <f t="shared" ref="V54:V61" si="19">T54/I54*100%</f>
        <v>1</v>
      </c>
      <c r="W54" s="87">
        <f t="shared" si="2"/>
        <v>0.99824892862080083</v>
      </c>
      <c r="X54" s="80">
        <f t="shared" ref="X54:X61" si="20">T54+G54</f>
        <v>7</v>
      </c>
      <c r="Y54" s="80">
        <f t="shared" si="0"/>
        <v>216630000</v>
      </c>
      <c r="Z54" s="88">
        <f t="shared" ref="Z54:AA61" si="21">IFERROR(X54/E54,0)</f>
        <v>0</v>
      </c>
      <c r="AA54" s="89">
        <f t="shared" si="21"/>
        <v>0</v>
      </c>
      <c r="AB54" s="104"/>
      <c r="AC54" s="105"/>
      <c r="AD54" s="106"/>
      <c r="AE54" s="106"/>
      <c r="AF54" s="107"/>
      <c r="AG54" s="107"/>
      <c r="AH54" s="107"/>
      <c r="AI54" s="106"/>
    </row>
    <row r="55" spans="1:35" s="108" customFormat="1" ht="91.5" customHeight="1" x14ac:dyDescent="0.25">
      <c r="A55" s="100"/>
      <c r="B55" s="101"/>
      <c r="C55" s="118" t="s">
        <v>244</v>
      </c>
      <c r="D55" s="98" t="s">
        <v>245</v>
      </c>
      <c r="E55" s="79">
        <v>0</v>
      </c>
      <c r="F55" s="80">
        <v>0</v>
      </c>
      <c r="G55" s="79">
        <v>0</v>
      </c>
      <c r="H55" s="81">
        <v>0</v>
      </c>
      <c r="I55" s="82">
        <v>1</v>
      </c>
      <c r="J55" s="83" t="s">
        <v>160</v>
      </c>
      <c r="K55" s="81">
        <v>224000000</v>
      </c>
      <c r="L55" s="81"/>
      <c r="M55" s="81"/>
      <c r="N55" s="85"/>
      <c r="O55" s="85"/>
      <c r="P55" s="86">
        <v>0</v>
      </c>
      <c r="Q55" s="86">
        <v>0</v>
      </c>
      <c r="R55" s="86">
        <v>1</v>
      </c>
      <c r="S55" s="86">
        <v>223660800</v>
      </c>
      <c r="T55" s="80">
        <f t="shared" si="18"/>
        <v>1</v>
      </c>
      <c r="U55" s="80">
        <f t="shared" si="18"/>
        <v>223660800</v>
      </c>
      <c r="V55" s="87">
        <f t="shared" si="19"/>
        <v>1</v>
      </c>
      <c r="W55" s="87">
        <f t="shared" si="2"/>
        <v>0.99848571428571431</v>
      </c>
      <c r="X55" s="80">
        <f t="shared" si="20"/>
        <v>1</v>
      </c>
      <c r="Y55" s="80">
        <f t="shared" si="0"/>
        <v>223660800</v>
      </c>
      <c r="Z55" s="88">
        <f t="shared" si="21"/>
        <v>0</v>
      </c>
      <c r="AA55" s="89">
        <f t="shared" si="21"/>
        <v>0</v>
      </c>
      <c r="AB55" s="104"/>
      <c r="AC55" s="105"/>
      <c r="AD55" s="106"/>
      <c r="AE55" s="106"/>
      <c r="AF55" s="107"/>
      <c r="AG55" s="107"/>
      <c r="AH55" s="107"/>
      <c r="AI55" s="106"/>
    </row>
    <row r="56" spans="1:35" s="108" customFormat="1" ht="91.5" customHeight="1" x14ac:dyDescent="0.25">
      <c r="A56" s="100"/>
      <c r="B56" s="101"/>
      <c r="C56" s="118" t="s">
        <v>246</v>
      </c>
      <c r="D56" s="98" t="s">
        <v>247</v>
      </c>
      <c r="E56" s="79">
        <v>0</v>
      </c>
      <c r="F56" s="80">
        <v>0</v>
      </c>
      <c r="G56" s="79">
        <v>0</v>
      </c>
      <c r="H56" s="81">
        <v>0</v>
      </c>
      <c r="I56" s="82">
        <v>1</v>
      </c>
      <c r="J56" s="83" t="s">
        <v>248</v>
      </c>
      <c r="K56" s="81">
        <v>380705404</v>
      </c>
      <c r="L56" s="123" t="s">
        <v>162</v>
      </c>
      <c r="M56" s="81">
        <v>30219500</v>
      </c>
      <c r="N56" s="85">
        <v>1</v>
      </c>
      <c r="O56" s="85">
        <v>284719500</v>
      </c>
      <c r="P56" s="85">
        <v>0</v>
      </c>
      <c r="Q56" s="85">
        <v>56283800</v>
      </c>
      <c r="R56" s="86">
        <v>0</v>
      </c>
      <c r="S56" s="86">
        <v>38793700</v>
      </c>
      <c r="T56" s="80">
        <f t="shared" si="18"/>
        <v>1</v>
      </c>
      <c r="U56" s="80">
        <f>SUM(O56,Q56,S56)</f>
        <v>379797000</v>
      </c>
      <c r="V56" s="87">
        <f t="shared" si="19"/>
        <v>1</v>
      </c>
      <c r="W56" s="87">
        <f t="shared" si="2"/>
        <v>0.99761389255194288</v>
      </c>
      <c r="X56" s="80">
        <f t="shared" si="20"/>
        <v>1</v>
      </c>
      <c r="Y56" s="80">
        <f t="shared" si="0"/>
        <v>379797000</v>
      </c>
      <c r="Z56" s="88">
        <f t="shared" si="21"/>
        <v>0</v>
      </c>
      <c r="AA56" s="89">
        <f t="shared" si="21"/>
        <v>0</v>
      </c>
      <c r="AB56" s="104"/>
      <c r="AC56" s="105"/>
      <c r="AD56" s="106"/>
      <c r="AE56" s="106"/>
      <c r="AF56" s="107"/>
      <c r="AG56" s="107"/>
      <c r="AH56" s="107"/>
      <c r="AI56" s="106"/>
    </row>
    <row r="57" spans="1:35" s="108" customFormat="1" ht="91.5" customHeight="1" x14ac:dyDescent="0.25">
      <c r="A57" s="100"/>
      <c r="B57" s="101"/>
      <c r="C57" s="118" t="s">
        <v>249</v>
      </c>
      <c r="D57" s="98" t="s">
        <v>250</v>
      </c>
      <c r="E57" s="79">
        <v>0</v>
      </c>
      <c r="F57" s="80">
        <v>0</v>
      </c>
      <c r="G57" s="79">
        <v>0</v>
      </c>
      <c r="H57" s="81">
        <v>0</v>
      </c>
      <c r="I57" s="82">
        <v>1</v>
      </c>
      <c r="J57" s="83" t="s">
        <v>251</v>
      </c>
      <c r="K57" s="81">
        <v>36000000</v>
      </c>
      <c r="L57" s="123" t="s">
        <v>162</v>
      </c>
      <c r="M57" s="81">
        <v>6000000</v>
      </c>
      <c r="N57" s="85">
        <v>1</v>
      </c>
      <c r="O57" s="85">
        <v>18000000</v>
      </c>
      <c r="P57" s="85">
        <v>0</v>
      </c>
      <c r="Q57" s="85">
        <v>6000000</v>
      </c>
      <c r="R57" s="86">
        <v>0</v>
      </c>
      <c r="S57" s="86">
        <v>9000000</v>
      </c>
      <c r="T57" s="80">
        <f t="shared" si="18"/>
        <v>1</v>
      </c>
      <c r="U57" s="80">
        <f>SUM(O57,Q57,S57)</f>
        <v>33000000</v>
      </c>
      <c r="V57" s="87">
        <f t="shared" si="19"/>
        <v>1</v>
      </c>
      <c r="W57" s="87">
        <f t="shared" si="2"/>
        <v>0.91666666666666663</v>
      </c>
      <c r="X57" s="80">
        <f t="shared" si="20"/>
        <v>1</v>
      </c>
      <c r="Y57" s="80">
        <f t="shared" si="0"/>
        <v>33000000</v>
      </c>
      <c r="Z57" s="88">
        <f t="shared" si="21"/>
        <v>0</v>
      </c>
      <c r="AA57" s="89">
        <f t="shared" si="21"/>
        <v>0</v>
      </c>
      <c r="AB57" s="104"/>
      <c r="AC57" s="105"/>
      <c r="AD57" s="106"/>
      <c r="AE57" s="106"/>
      <c r="AF57" s="107"/>
      <c r="AG57" s="107"/>
      <c r="AH57" s="107"/>
      <c r="AI57" s="106"/>
    </row>
    <row r="58" spans="1:35" s="108" customFormat="1" ht="91.5" customHeight="1" x14ac:dyDescent="0.25">
      <c r="A58" s="100"/>
      <c r="B58" s="101"/>
      <c r="C58" s="118" t="s">
        <v>252</v>
      </c>
      <c r="D58" s="98" t="s">
        <v>253</v>
      </c>
      <c r="E58" s="79">
        <v>0</v>
      </c>
      <c r="F58" s="80">
        <v>0</v>
      </c>
      <c r="G58" s="79">
        <v>0</v>
      </c>
      <c r="H58" s="81">
        <v>0</v>
      </c>
      <c r="I58" s="82">
        <v>12</v>
      </c>
      <c r="J58" s="83" t="s">
        <v>174</v>
      </c>
      <c r="K58" s="81">
        <v>16624910</v>
      </c>
      <c r="L58" s="81"/>
      <c r="M58" s="81"/>
      <c r="N58" s="85">
        <v>0</v>
      </c>
      <c r="O58" s="85">
        <v>0</v>
      </c>
      <c r="P58" s="85">
        <v>7</v>
      </c>
      <c r="Q58" s="85">
        <v>8316600</v>
      </c>
      <c r="R58" s="86">
        <v>5</v>
      </c>
      <c r="S58" s="86">
        <v>8058000</v>
      </c>
      <c r="T58" s="80">
        <f t="shared" si="18"/>
        <v>12</v>
      </c>
      <c r="U58" s="80">
        <f t="shared" si="18"/>
        <v>16374600</v>
      </c>
      <c r="V58" s="87">
        <f t="shared" si="19"/>
        <v>1</v>
      </c>
      <c r="W58" s="87">
        <f t="shared" si="2"/>
        <v>0.98494367789058712</v>
      </c>
      <c r="X58" s="80">
        <f t="shared" si="20"/>
        <v>12</v>
      </c>
      <c r="Y58" s="80">
        <f t="shared" si="0"/>
        <v>16374600</v>
      </c>
      <c r="Z58" s="88">
        <f t="shared" si="21"/>
        <v>0</v>
      </c>
      <c r="AA58" s="89">
        <f t="shared" si="21"/>
        <v>0</v>
      </c>
      <c r="AB58" s="104"/>
      <c r="AC58" s="105"/>
      <c r="AD58" s="106"/>
      <c r="AE58" s="106"/>
      <c r="AF58" s="107"/>
      <c r="AG58" s="107"/>
      <c r="AH58" s="107"/>
      <c r="AI58" s="106"/>
    </row>
    <row r="59" spans="1:35" s="108" customFormat="1" ht="91.5" customHeight="1" x14ac:dyDescent="0.25">
      <c r="A59" s="100"/>
      <c r="B59" s="101"/>
      <c r="C59" s="118" t="s">
        <v>254</v>
      </c>
      <c r="D59" s="98" t="s">
        <v>255</v>
      </c>
      <c r="E59" s="79">
        <v>0</v>
      </c>
      <c r="F59" s="80">
        <v>0</v>
      </c>
      <c r="G59" s="79">
        <v>0</v>
      </c>
      <c r="H59" s="81">
        <v>0</v>
      </c>
      <c r="I59" s="82">
        <v>2.83</v>
      </c>
      <c r="J59" s="83" t="s">
        <v>256</v>
      </c>
      <c r="K59" s="81">
        <v>16011000</v>
      </c>
      <c r="L59" s="81"/>
      <c r="M59" s="81"/>
      <c r="N59" s="85">
        <v>1</v>
      </c>
      <c r="O59" s="85">
        <v>1260000</v>
      </c>
      <c r="P59" s="85">
        <v>0</v>
      </c>
      <c r="Q59" s="85">
        <v>10080000</v>
      </c>
      <c r="R59" s="124">
        <v>1.83</v>
      </c>
      <c r="S59" s="86">
        <v>3621000</v>
      </c>
      <c r="T59" s="122">
        <f>SUM(L59,N59,P59,R59)</f>
        <v>2.83</v>
      </c>
      <c r="U59" s="80">
        <f>SUM(O59,Q59,S59)</f>
        <v>14961000</v>
      </c>
      <c r="V59" s="87">
        <f t="shared" si="19"/>
        <v>1</v>
      </c>
      <c r="W59" s="87">
        <f t="shared" si="2"/>
        <v>0.9344200861907439</v>
      </c>
      <c r="X59" s="122">
        <f t="shared" si="20"/>
        <v>2.83</v>
      </c>
      <c r="Y59" s="80">
        <f t="shared" si="0"/>
        <v>14961000</v>
      </c>
      <c r="Z59" s="88">
        <f t="shared" si="21"/>
        <v>0</v>
      </c>
      <c r="AA59" s="89">
        <f t="shared" si="21"/>
        <v>0</v>
      </c>
      <c r="AB59" s="104"/>
      <c r="AC59" s="105"/>
      <c r="AD59" s="106"/>
      <c r="AE59" s="106"/>
      <c r="AF59" s="107"/>
      <c r="AG59" s="107"/>
      <c r="AH59" s="107"/>
      <c r="AI59" s="106"/>
    </row>
    <row r="60" spans="1:35" s="108" customFormat="1" ht="91.5" customHeight="1" x14ac:dyDescent="0.25">
      <c r="A60" s="100"/>
      <c r="B60" s="101"/>
      <c r="C60" s="118" t="s">
        <v>257</v>
      </c>
      <c r="D60" s="98" t="s">
        <v>258</v>
      </c>
      <c r="E60" s="79">
        <v>0</v>
      </c>
      <c r="F60" s="80">
        <v>0</v>
      </c>
      <c r="G60" s="79">
        <v>0</v>
      </c>
      <c r="H60" s="81">
        <v>0</v>
      </c>
      <c r="I60" s="125">
        <v>1</v>
      </c>
      <c r="J60" s="83" t="s">
        <v>160</v>
      </c>
      <c r="K60" s="81">
        <v>239159401</v>
      </c>
      <c r="L60" s="81">
        <v>0</v>
      </c>
      <c r="M60" s="81">
        <v>0</v>
      </c>
      <c r="N60" s="85">
        <v>0</v>
      </c>
      <c r="O60" s="85">
        <v>0</v>
      </c>
      <c r="P60" s="85">
        <v>0</v>
      </c>
      <c r="Q60" s="85">
        <v>0</v>
      </c>
      <c r="R60" s="86">
        <v>1</v>
      </c>
      <c r="S60" s="86">
        <v>169630919</v>
      </c>
      <c r="T60" s="80">
        <f>R60</f>
        <v>1</v>
      </c>
      <c r="U60" s="80">
        <f>SUM(O60,Q60,S60)</f>
        <v>169630919</v>
      </c>
      <c r="V60" s="87">
        <f t="shared" si="19"/>
        <v>1</v>
      </c>
      <c r="W60" s="87">
        <f t="shared" si="2"/>
        <v>0.70927974518551329</v>
      </c>
      <c r="X60" s="80">
        <f>T60+G60</f>
        <v>1</v>
      </c>
      <c r="Y60" s="80">
        <f t="shared" si="0"/>
        <v>169630919</v>
      </c>
      <c r="Z60" s="88">
        <v>0</v>
      </c>
      <c r="AA60" s="89">
        <v>0</v>
      </c>
      <c r="AB60" s="104"/>
      <c r="AC60" s="105"/>
      <c r="AD60" s="106"/>
      <c r="AE60" s="106"/>
      <c r="AF60" s="107"/>
      <c r="AG60" s="107"/>
      <c r="AH60" s="107"/>
      <c r="AI60" s="106"/>
    </row>
    <row r="61" spans="1:35" s="108" customFormat="1" ht="91.5" customHeight="1" x14ac:dyDescent="0.25">
      <c r="A61" s="100"/>
      <c r="B61" s="101"/>
      <c r="C61" s="118" t="s">
        <v>259</v>
      </c>
      <c r="D61" s="98" t="s">
        <v>260</v>
      </c>
      <c r="E61" s="79">
        <v>0</v>
      </c>
      <c r="F61" s="80">
        <v>0</v>
      </c>
      <c r="G61" s="79">
        <v>0</v>
      </c>
      <c r="H61" s="81">
        <v>0</v>
      </c>
      <c r="I61" s="82">
        <v>16</v>
      </c>
      <c r="J61" s="83" t="s">
        <v>219</v>
      </c>
      <c r="K61" s="81">
        <v>10780000</v>
      </c>
      <c r="L61" s="81"/>
      <c r="M61" s="81"/>
      <c r="N61" s="85"/>
      <c r="O61" s="85"/>
      <c r="P61" s="85">
        <v>0</v>
      </c>
      <c r="Q61" s="85">
        <v>3750000</v>
      </c>
      <c r="R61" s="86">
        <v>6</v>
      </c>
      <c r="S61" s="86">
        <v>6730000</v>
      </c>
      <c r="T61" s="80">
        <f>10+R61</f>
        <v>16</v>
      </c>
      <c r="U61" s="80">
        <f t="shared" si="18"/>
        <v>10480000</v>
      </c>
      <c r="V61" s="87">
        <f t="shared" si="19"/>
        <v>1</v>
      </c>
      <c r="W61" s="87">
        <f t="shared" si="2"/>
        <v>0.9721706864564007</v>
      </c>
      <c r="X61" s="80">
        <f t="shared" si="20"/>
        <v>16</v>
      </c>
      <c r="Y61" s="80">
        <f t="shared" si="0"/>
        <v>10480000</v>
      </c>
      <c r="Z61" s="88">
        <f t="shared" si="21"/>
        <v>0</v>
      </c>
      <c r="AA61" s="89">
        <f t="shared" si="21"/>
        <v>0</v>
      </c>
      <c r="AB61" s="104"/>
      <c r="AC61" s="105"/>
      <c r="AD61" s="106"/>
      <c r="AE61" s="106"/>
      <c r="AF61" s="107"/>
      <c r="AG61" s="107"/>
      <c r="AH61" s="107"/>
      <c r="AI61" s="106"/>
    </row>
    <row r="62" spans="1:35" s="117" customFormat="1" ht="91.5" customHeight="1" x14ac:dyDescent="0.25">
      <c r="A62" s="109"/>
      <c r="B62" s="110"/>
      <c r="C62" s="111" t="s">
        <v>261</v>
      </c>
      <c r="D62" s="112"/>
      <c r="E62" s="61"/>
      <c r="F62" s="62"/>
      <c r="G62" s="61"/>
      <c r="H62" s="62"/>
      <c r="I62" s="63"/>
      <c r="J62" s="64"/>
      <c r="K62" s="65">
        <f>K63+K64</f>
        <v>132478000</v>
      </c>
      <c r="L62" s="62"/>
      <c r="M62" s="65">
        <f>M63+M64</f>
        <v>13090000</v>
      </c>
      <c r="N62" s="66"/>
      <c r="O62" s="65">
        <f>O63+O64</f>
        <v>59535000</v>
      </c>
      <c r="P62" s="85"/>
      <c r="Q62" s="103">
        <f>Q63+Q64</f>
        <v>28691000</v>
      </c>
      <c r="R62" s="66"/>
      <c r="S62" s="65">
        <f>S63+S64</f>
        <v>42257500</v>
      </c>
      <c r="T62" s="113"/>
      <c r="U62" s="65">
        <f>U63+U64</f>
        <v>130483500</v>
      </c>
      <c r="V62" s="67"/>
      <c r="W62" s="67">
        <f t="shared" si="2"/>
        <v>0.98494467005842479</v>
      </c>
      <c r="X62" s="68"/>
      <c r="Y62" s="65">
        <f t="shared" si="0"/>
        <v>130483500</v>
      </c>
      <c r="Z62" s="69"/>
      <c r="AA62" s="65">
        <f>AA63+AA64</f>
        <v>0</v>
      </c>
      <c r="AB62" s="70"/>
      <c r="AC62" s="114"/>
      <c r="AD62" s="115"/>
      <c r="AE62" s="115"/>
      <c r="AF62" s="116"/>
      <c r="AG62" s="116"/>
      <c r="AH62" s="116"/>
      <c r="AI62" s="115"/>
    </row>
    <row r="63" spans="1:35" s="108" customFormat="1" ht="91.5" customHeight="1" x14ac:dyDescent="0.25">
      <c r="A63" s="100"/>
      <c r="B63" s="101"/>
      <c r="C63" s="118" t="s">
        <v>262</v>
      </c>
      <c r="D63" s="98" t="s">
        <v>263</v>
      </c>
      <c r="E63" s="79">
        <v>0</v>
      </c>
      <c r="F63" s="80">
        <v>0</v>
      </c>
      <c r="G63" s="79">
        <v>0</v>
      </c>
      <c r="H63" s="81">
        <v>0</v>
      </c>
      <c r="I63" s="82">
        <v>1000</v>
      </c>
      <c r="J63" s="83" t="s">
        <v>264</v>
      </c>
      <c r="K63" s="81">
        <v>77230000</v>
      </c>
      <c r="L63" s="81" t="s">
        <v>162</v>
      </c>
      <c r="M63" s="81">
        <v>9640000</v>
      </c>
      <c r="N63" s="85">
        <v>740</v>
      </c>
      <c r="O63" s="85">
        <v>45155000</v>
      </c>
      <c r="P63" s="85">
        <v>60</v>
      </c>
      <c r="Q63" s="85">
        <v>12030000</v>
      </c>
      <c r="R63" s="86">
        <v>200</v>
      </c>
      <c r="S63" s="86">
        <v>18230000</v>
      </c>
      <c r="T63" s="80">
        <f>N63+P63+R63</f>
        <v>1000</v>
      </c>
      <c r="U63" s="80">
        <f>SUM(O63,Q63,S63)</f>
        <v>75415000</v>
      </c>
      <c r="V63" s="87">
        <f>T63/I63*100%</f>
        <v>1</v>
      </c>
      <c r="W63" s="87">
        <f t="shared" si="2"/>
        <v>0.97649876990806683</v>
      </c>
      <c r="X63" s="80">
        <f>T63+G63</f>
        <v>1000</v>
      </c>
      <c r="Y63" s="80">
        <f t="shared" si="0"/>
        <v>75415000</v>
      </c>
      <c r="Z63" s="88">
        <f>IFERROR(X63/E63,0)</f>
        <v>0</v>
      </c>
      <c r="AA63" s="89">
        <f>IFERROR(Y63/F63,0)</f>
        <v>0</v>
      </c>
      <c r="AB63" s="104"/>
      <c r="AC63" s="105"/>
      <c r="AD63" s="106"/>
      <c r="AE63" s="106"/>
      <c r="AF63" s="107"/>
      <c r="AG63" s="107"/>
      <c r="AH63" s="107"/>
      <c r="AI63" s="106"/>
    </row>
    <row r="64" spans="1:35" s="108" customFormat="1" ht="91.5" customHeight="1" x14ac:dyDescent="0.25">
      <c r="A64" s="100"/>
      <c r="B64" s="101"/>
      <c r="C64" s="118" t="s">
        <v>265</v>
      </c>
      <c r="D64" s="98" t="s">
        <v>266</v>
      </c>
      <c r="E64" s="79">
        <v>0</v>
      </c>
      <c r="F64" s="80">
        <v>0</v>
      </c>
      <c r="G64" s="79">
        <v>0</v>
      </c>
      <c r="H64" s="81">
        <v>0</v>
      </c>
      <c r="I64" s="82">
        <v>1</v>
      </c>
      <c r="J64" s="83" t="s">
        <v>267</v>
      </c>
      <c r="K64" s="81">
        <v>55248000</v>
      </c>
      <c r="L64" s="123" t="s">
        <v>162</v>
      </c>
      <c r="M64" s="81">
        <v>3450000</v>
      </c>
      <c r="N64" s="85">
        <v>1</v>
      </c>
      <c r="O64" s="85">
        <v>14380000</v>
      </c>
      <c r="P64" s="85">
        <v>0</v>
      </c>
      <c r="Q64" s="85">
        <v>16661000</v>
      </c>
      <c r="R64" s="86">
        <v>0</v>
      </c>
      <c r="S64" s="86">
        <v>24027500</v>
      </c>
      <c r="T64" s="80">
        <f t="shared" ref="T64" si="22">SUM(L64,N64,P64,R64)</f>
        <v>1</v>
      </c>
      <c r="U64" s="80">
        <f>SUM(O64,Q64,S64)</f>
        <v>55068500</v>
      </c>
      <c r="V64" s="87">
        <f>T64/I64*100%</f>
        <v>1</v>
      </c>
      <c r="W64" s="87">
        <f t="shared" si="2"/>
        <v>0.99675101361135243</v>
      </c>
      <c r="X64" s="80">
        <f>T64+G64</f>
        <v>1</v>
      </c>
      <c r="Y64" s="80">
        <f t="shared" si="0"/>
        <v>55068500</v>
      </c>
      <c r="Z64" s="88">
        <f>IFERROR(X64/E64,0)</f>
        <v>0</v>
      </c>
      <c r="AA64" s="89">
        <f>IFERROR(Y64/F64,0)</f>
        <v>0</v>
      </c>
      <c r="AB64" s="104"/>
      <c r="AC64" s="105"/>
      <c r="AD64" s="106"/>
      <c r="AE64" s="106"/>
      <c r="AF64" s="107"/>
      <c r="AG64" s="107"/>
      <c r="AH64" s="107"/>
      <c r="AI64" s="106"/>
    </row>
    <row r="65" spans="1:35" s="117" customFormat="1" ht="91.5" customHeight="1" x14ac:dyDescent="0.25">
      <c r="A65" s="109"/>
      <c r="B65" s="110"/>
      <c r="C65" s="111" t="s">
        <v>268</v>
      </c>
      <c r="D65" s="112"/>
      <c r="E65" s="61"/>
      <c r="F65" s="62"/>
      <c r="G65" s="61"/>
      <c r="H65" s="62"/>
      <c r="I65" s="63"/>
      <c r="J65" s="64"/>
      <c r="K65" s="65">
        <f>K66+K67</f>
        <v>139099368</v>
      </c>
      <c r="L65" s="62"/>
      <c r="M65" s="65">
        <f>M66+M67</f>
        <v>6000000</v>
      </c>
      <c r="N65" s="66"/>
      <c r="O65" s="65">
        <f>O66+O67</f>
        <v>87404000</v>
      </c>
      <c r="P65" s="85"/>
      <c r="Q65" s="103">
        <f>Q66+Q67</f>
        <v>21217110</v>
      </c>
      <c r="R65" s="66"/>
      <c r="S65" s="65">
        <f>S66+S67</f>
        <v>27755600</v>
      </c>
      <c r="T65" s="113"/>
      <c r="U65" s="65">
        <f>U66+U67</f>
        <v>136376710</v>
      </c>
      <c r="V65" s="67"/>
      <c r="W65" s="67">
        <f t="shared" si="2"/>
        <v>0.98042652501483685</v>
      </c>
      <c r="X65" s="68"/>
      <c r="Y65" s="65">
        <f t="shared" si="0"/>
        <v>136376710</v>
      </c>
      <c r="Z65" s="69"/>
      <c r="AA65" s="65">
        <f>AA66+AA67</f>
        <v>0</v>
      </c>
      <c r="AB65" s="70"/>
      <c r="AC65" s="114"/>
      <c r="AD65" s="115"/>
      <c r="AE65" s="115"/>
      <c r="AF65" s="116"/>
      <c r="AG65" s="116"/>
      <c r="AH65" s="116"/>
      <c r="AI65" s="115"/>
    </row>
    <row r="66" spans="1:35" s="108" customFormat="1" ht="91.5" customHeight="1" x14ac:dyDescent="0.25">
      <c r="A66" s="100"/>
      <c r="B66" s="101"/>
      <c r="C66" s="118" t="s">
        <v>269</v>
      </c>
      <c r="D66" s="98" t="s">
        <v>270</v>
      </c>
      <c r="E66" s="79">
        <v>0</v>
      </c>
      <c r="F66" s="80">
        <v>0</v>
      </c>
      <c r="G66" s="79">
        <v>0</v>
      </c>
      <c r="H66" s="81">
        <v>0</v>
      </c>
      <c r="I66" s="82">
        <v>10</v>
      </c>
      <c r="J66" s="83" t="s">
        <v>271</v>
      </c>
      <c r="K66" s="81">
        <v>31215000</v>
      </c>
      <c r="L66" s="123">
        <v>0</v>
      </c>
      <c r="M66" s="81">
        <v>0</v>
      </c>
      <c r="N66" s="85">
        <v>1</v>
      </c>
      <c r="O66" s="85">
        <v>4187000</v>
      </c>
      <c r="P66" s="85">
        <v>4</v>
      </c>
      <c r="Q66" s="85">
        <v>12217110</v>
      </c>
      <c r="R66" s="86">
        <v>5</v>
      </c>
      <c r="S66" s="86">
        <v>14105600</v>
      </c>
      <c r="T66" s="80">
        <f>N66+P66+R66</f>
        <v>10</v>
      </c>
      <c r="U66" s="80">
        <f>SUM(O66,Q66,S66)</f>
        <v>30509710</v>
      </c>
      <c r="V66" s="87">
        <f>T66/I66*100%</f>
        <v>1</v>
      </c>
      <c r="W66" s="87">
        <f t="shared" si="2"/>
        <v>0.97740541406375137</v>
      </c>
      <c r="X66" s="80">
        <f>T66+G66</f>
        <v>10</v>
      </c>
      <c r="Y66" s="80">
        <f t="shared" si="0"/>
        <v>30509710</v>
      </c>
      <c r="Z66" s="88">
        <f>IFERROR(X66/E66,0)</f>
        <v>0</v>
      </c>
      <c r="AA66" s="89">
        <f>IFERROR(Y66/F66,0)</f>
        <v>0</v>
      </c>
      <c r="AB66" s="104"/>
      <c r="AC66" s="105"/>
      <c r="AD66" s="106"/>
      <c r="AE66" s="106"/>
      <c r="AF66" s="107"/>
      <c r="AG66" s="107"/>
      <c r="AH66" s="107"/>
      <c r="AI66" s="106"/>
    </row>
    <row r="67" spans="1:35" s="108" customFormat="1" ht="91.5" customHeight="1" x14ac:dyDescent="0.25">
      <c r="A67" s="100"/>
      <c r="B67" s="101"/>
      <c r="C67" s="118" t="s">
        <v>272</v>
      </c>
      <c r="D67" s="98" t="s">
        <v>273</v>
      </c>
      <c r="E67" s="79">
        <v>0</v>
      </c>
      <c r="F67" s="80">
        <v>0</v>
      </c>
      <c r="G67" s="79">
        <v>0</v>
      </c>
      <c r="H67" s="81">
        <v>0</v>
      </c>
      <c r="I67" s="82">
        <v>75</v>
      </c>
      <c r="J67" s="83" t="s">
        <v>219</v>
      </c>
      <c r="K67" s="81">
        <v>107884368</v>
      </c>
      <c r="L67" s="126" t="s">
        <v>162</v>
      </c>
      <c r="M67" s="81">
        <v>6000000</v>
      </c>
      <c r="N67" s="84" t="s">
        <v>274</v>
      </c>
      <c r="O67" s="85">
        <v>83217000</v>
      </c>
      <c r="P67" s="84" t="s">
        <v>221</v>
      </c>
      <c r="Q67" s="85">
        <v>9000000</v>
      </c>
      <c r="R67" s="121" t="s">
        <v>275</v>
      </c>
      <c r="S67" s="86">
        <v>13650000</v>
      </c>
      <c r="T67" s="127">
        <f>N67+P67+R67</f>
        <v>0.75</v>
      </c>
      <c r="U67" s="80">
        <f>SUM(O67,Q67,S67)</f>
        <v>105867000</v>
      </c>
      <c r="V67" s="87">
        <f>T67/I67*10000%</f>
        <v>1</v>
      </c>
      <c r="W67" s="87">
        <f t="shared" si="2"/>
        <v>0.98130064589153454</v>
      </c>
      <c r="X67" s="122">
        <f>T67+G67</f>
        <v>0.75</v>
      </c>
      <c r="Y67" s="80">
        <f t="shared" si="0"/>
        <v>105867000</v>
      </c>
      <c r="Z67" s="88">
        <f>IFERROR(X67/E67,0)</f>
        <v>0</v>
      </c>
      <c r="AA67" s="89">
        <f>IFERROR(Y67/F67,0)</f>
        <v>0</v>
      </c>
      <c r="AB67" s="104"/>
      <c r="AC67" s="105"/>
      <c r="AD67" s="106"/>
      <c r="AE67" s="106"/>
      <c r="AF67" s="107"/>
      <c r="AG67" s="107"/>
      <c r="AH67" s="107"/>
      <c r="AI67" s="106"/>
    </row>
    <row r="68" spans="1:35" ht="63.75" customHeight="1" x14ac:dyDescent="0.25">
      <c r="A68" s="75"/>
      <c r="B68" s="76"/>
      <c r="C68" s="77"/>
      <c r="D68" s="77"/>
      <c r="E68" s="79"/>
      <c r="F68" s="80"/>
      <c r="G68" s="79"/>
      <c r="H68" s="81"/>
      <c r="I68" s="293"/>
      <c r="J68" s="294"/>
      <c r="K68" s="80"/>
      <c r="L68" s="85"/>
      <c r="M68" s="85"/>
      <c r="N68" s="85"/>
      <c r="O68" s="85"/>
      <c r="P68" s="85"/>
      <c r="Q68" s="85"/>
      <c r="R68" s="86"/>
      <c r="S68" s="86"/>
      <c r="T68" s="80"/>
      <c r="U68" s="80" t="s">
        <v>276</v>
      </c>
      <c r="V68" s="87"/>
      <c r="W68" s="87"/>
      <c r="X68" s="79"/>
      <c r="Y68" s="80"/>
      <c r="Z68" s="88"/>
      <c r="AA68" s="89"/>
      <c r="AB68" s="90"/>
      <c r="AC68" s="38"/>
    </row>
    <row r="69" spans="1:35" ht="30" customHeight="1" x14ac:dyDescent="0.25">
      <c r="A69" s="75"/>
      <c r="B69" s="76"/>
      <c r="C69" s="77"/>
      <c r="D69" s="77"/>
      <c r="E69" s="79"/>
      <c r="F69" s="80"/>
      <c r="G69" s="79"/>
      <c r="H69" s="80"/>
      <c r="I69" s="293"/>
      <c r="J69" s="294"/>
      <c r="K69" s="80"/>
      <c r="L69" s="301" t="s">
        <v>277</v>
      </c>
      <c r="M69" s="301"/>
      <c r="N69" s="301"/>
      <c r="O69" s="301"/>
      <c r="P69" s="301"/>
      <c r="Q69" s="301"/>
      <c r="R69" s="301"/>
      <c r="S69" s="301"/>
      <c r="T69" s="301"/>
      <c r="U69" s="301"/>
      <c r="V69" s="128">
        <f>SUMPRODUCT(V9:V67,K9:K67)/K71</f>
        <v>0.95026855697715606</v>
      </c>
      <c r="W69" s="128">
        <f>IFERROR(U71/K71,0)</f>
        <v>0.97345860396680484</v>
      </c>
      <c r="X69" s="79"/>
      <c r="Y69" s="80"/>
      <c r="Z69" s="88"/>
      <c r="AA69" s="89"/>
      <c r="AB69" s="90"/>
      <c r="AC69" s="38"/>
    </row>
    <row r="70" spans="1:35" ht="30" customHeight="1" x14ac:dyDescent="0.25">
      <c r="A70" s="75"/>
      <c r="B70" s="76"/>
      <c r="C70" s="77"/>
      <c r="D70" s="77"/>
      <c r="E70" s="79"/>
      <c r="F70" s="80"/>
      <c r="G70" s="79"/>
      <c r="H70" s="80"/>
      <c r="I70" s="293"/>
      <c r="J70" s="294"/>
      <c r="K70" s="80"/>
      <c r="L70" s="301" t="s">
        <v>278</v>
      </c>
      <c r="M70" s="301"/>
      <c r="N70" s="301"/>
      <c r="O70" s="301"/>
      <c r="P70" s="301"/>
      <c r="Q70" s="301"/>
      <c r="R70" s="301"/>
      <c r="S70" s="301"/>
      <c r="T70" s="301"/>
      <c r="U70" s="301"/>
      <c r="V70" s="128" t="str">
        <f>IF(V69&gt;0.9,"Sangat Tinggi",IF(V69&gt;0.75,"Tinggi",IF(V69&gt;0.65,"Sedang",IF(V69&gt;0.5,"Rendah","Sangat Rendah"))))</f>
        <v>Sangat Tinggi</v>
      </c>
      <c r="W70" s="128" t="str">
        <f>IF(W69&gt;0.9,"Sangat Tinggi",IF(W69&gt;0.75,"Tinggi",IF(W69&gt;0.65,"Sedang",IF(W69&gt;0.5,"Rendah","Sangat Rendah"))))</f>
        <v>Sangat Tinggi</v>
      </c>
      <c r="X70" s="79"/>
      <c r="Y70" s="80"/>
      <c r="Z70" s="88"/>
      <c r="AA70" s="89"/>
      <c r="AB70" s="90"/>
      <c r="AC70" s="38"/>
    </row>
    <row r="71" spans="1:35" x14ac:dyDescent="0.25">
      <c r="A71" s="129"/>
      <c r="B71" s="130"/>
      <c r="C71" s="130"/>
      <c r="D71" s="130"/>
      <c r="E71" s="130"/>
      <c r="F71" s="130"/>
      <c r="G71" s="130"/>
      <c r="H71" s="130"/>
      <c r="I71" s="293"/>
      <c r="J71" s="294"/>
      <c r="K71" s="131">
        <f>+K9</f>
        <v>11623386261</v>
      </c>
      <c r="L71" s="306" t="s">
        <v>279</v>
      </c>
      <c r="M71" s="307"/>
      <c r="N71" s="307"/>
      <c r="O71" s="307"/>
      <c r="P71" s="307"/>
      <c r="Q71" s="307"/>
      <c r="R71" s="307"/>
      <c r="S71" s="307"/>
      <c r="T71" s="308"/>
      <c r="U71" s="131">
        <f>+U9</f>
        <v>11314885363</v>
      </c>
      <c r="V71" s="132">
        <f>+(0+V69*K71)/K71</f>
        <v>0.95026855697715606</v>
      </c>
      <c r="W71" s="132">
        <f>(0+U71)/K71</f>
        <v>0.97345860396680484</v>
      </c>
      <c r="X71" s="133"/>
      <c r="Y71" s="133"/>
      <c r="Z71" s="133"/>
      <c r="AA71" s="134"/>
      <c r="AB71" s="135"/>
      <c r="AC71" s="31"/>
    </row>
    <row r="72" spans="1:35" ht="33" customHeight="1" thickBot="1" x14ac:dyDescent="0.3">
      <c r="A72" s="136"/>
      <c r="B72" s="137"/>
      <c r="C72" s="137"/>
      <c r="D72" s="137"/>
      <c r="E72" s="137"/>
      <c r="F72" s="137"/>
      <c r="G72" s="137"/>
      <c r="H72" s="137"/>
      <c r="I72" s="309"/>
      <c r="J72" s="310"/>
      <c r="K72" s="137"/>
      <c r="L72" s="311" t="s">
        <v>280</v>
      </c>
      <c r="M72" s="312"/>
      <c r="N72" s="312"/>
      <c r="O72" s="312"/>
      <c r="P72" s="312"/>
      <c r="Q72" s="312"/>
      <c r="R72" s="312"/>
      <c r="S72" s="312"/>
      <c r="T72" s="312"/>
      <c r="U72" s="313"/>
      <c r="V72" s="138" t="str">
        <f>IF(V71&gt;0.9,"Sangat Tinggi",IF(V71&gt;0.75,"Tinggi",IF(V71&gt;0.65,"Sedang",IF(V71&gt;0.5,"Rendah","Sangat Rendah"))))</f>
        <v>Sangat Tinggi</v>
      </c>
      <c r="W72" s="138" t="str">
        <f>IF(W71&gt;0.9,"Sangat Tinggi",IF(W71&gt;0.75,"Tinggi",IF(W71&gt;0.65,"Sedang",IF(W71&gt;0.5,"Rendah","Sangat Rendah"))))</f>
        <v>Sangat Tinggi</v>
      </c>
      <c r="X72" s="139"/>
      <c r="Y72" s="139"/>
      <c r="Z72" s="139"/>
      <c r="AA72" s="140"/>
      <c r="AB72" s="141"/>
      <c r="AC72" s="142"/>
    </row>
    <row r="73" spans="1:35" ht="21" customHeight="1" x14ac:dyDescent="0.25"/>
    <row r="74" spans="1:35" ht="24" customHeight="1" x14ac:dyDescent="0.25">
      <c r="A74" s="143" t="s">
        <v>281</v>
      </c>
      <c r="B74" s="143" t="s">
        <v>282</v>
      </c>
      <c r="C74" s="143" t="s">
        <v>283</v>
      </c>
      <c r="Q74" s="19" t="s">
        <v>284</v>
      </c>
      <c r="U74" s="144"/>
      <c r="V74" s="145"/>
      <c r="W74" s="314" t="s">
        <v>285</v>
      </c>
      <c r="X74" s="314"/>
      <c r="Y74" s="314"/>
      <c r="Z74" s="314"/>
      <c r="AA74" s="314"/>
      <c r="AB74" s="314"/>
    </row>
    <row r="75" spans="1:35" ht="22.5" customHeight="1" x14ac:dyDescent="0.25">
      <c r="A75" s="146" t="s">
        <v>286</v>
      </c>
      <c r="B75" s="146" t="s">
        <v>287</v>
      </c>
      <c r="C75" s="146" t="s">
        <v>288</v>
      </c>
      <c r="V75" s="145"/>
      <c r="W75" s="315" t="s">
        <v>289</v>
      </c>
      <c r="X75" s="315"/>
      <c r="Y75" s="315"/>
      <c r="Z75" s="315"/>
      <c r="AA75" s="315"/>
      <c r="AB75" s="315"/>
    </row>
    <row r="76" spans="1:35" ht="24.75" customHeight="1" x14ac:dyDescent="0.25">
      <c r="A76" s="146" t="s">
        <v>290</v>
      </c>
      <c r="B76" s="146" t="s">
        <v>291</v>
      </c>
      <c r="C76" s="146" t="s">
        <v>292</v>
      </c>
    </row>
    <row r="77" spans="1:35" ht="24.75" customHeight="1" x14ac:dyDescent="0.25">
      <c r="A77" s="146" t="s">
        <v>293</v>
      </c>
      <c r="B77" s="146" t="s">
        <v>294</v>
      </c>
      <c r="C77" s="146" t="s">
        <v>295</v>
      </c>
      <c r="X77" s="147"/>
      <c r="Y77" s="304"/>
      <c r="Z77" s="304"/>
      <c r="AA77" s="304"/>
    </row>
    <row r="78" spans="1:35" ht="22.5" customHeight="1" x14ac:dyDescent="0.25">
      <c r="A78" s="146" t="s">
        <v>296</v>
      </c>
      <c r="B78" s="146" t="s">
        <v>297</v>
      </c>
      <c r="C78" s="146" t="s">
        <v>298</v>
      </c>
      <c r="X78" s="305" t="s">
        <v>299</v>
      </c>
      <c r="Y78" s="305"/>
      <c r="Z78" s="305"/>
      <c r="AA78" s="305"/>
      <c r="AB78" s="305"/>
    </row>
    <row r="79" spans="1:35" ht="23.25" customHeight="1" x14ac:dyDescent="0.25">
      <c r="A79" s="146" t="s">
        <v>300</v>
      </c>
      <c r="B79" s="148" t="s">
        <v>301</v>
      </c>
      <c r="C79" s="146" t="s">
        <v>302</v>
      </c>
      <c r="V79" s="145"/>
      <c r="W79" s="149"/>
      <c r="X79" s="305" t="s">
        <v>303</v>
      </c>
      <c r="Y79" s="305"/>
      <c r="Z79" s="305"/>
      <c r="AA79" s="305"/>
      <c r="AB79" s="305"/>
    </row>
    <row r="80" spans="1:35" ht="15" customHeight="1" x14ac:dyDescent="0.25">
      <c r="X80" s="305" t="s">
        <v>304</v>
      </c>
      <c r="Y80" s="305"/>
      <c r="Z80" s="305"/>
      <c r="AA80" s="305"/>
      <c r="AB80" s="305"/>
    </row>
    <row r="81" spans="24:27" x14ac:dyDescent="0.25">
      <c r="X81" s="147"/>
      <c r="Y81" s="147"/>
      <c r="Z81" s="147"/>
      <c r="AA81" s="147"/>
    </row>
  </sheetData>
  <mergeCells count="53">
    <mergeCell ref="Y77:AA77"/>
    <mergeCell ref="X78:AB78"/>
    <mergeCell ref="X79:AB79"/>
    <mergeCell ref="X80:AB80"/>
    <mergeCell ref="I71:J71"/>
    <mergeCell ref="L71:T71"/>
    <mergeCell ref="I72:J72"/>
    <mergeCell ref="L72:U72"/>
    <mergeCell ref="W74:AB74"/>
    <mergeCell ref="W75:AB75"/>
    <mergeCell ref="I70:J70"/>
    <mergeCell ref="L70:U70"/>
    <mergeCell ref="N7:O7"/>
    <mergeCell ref="P7:Q7"/>
    <mergeCell ref="R7:S7"/>
    <mergeCell ref="T7:U7"/>
    <mergeCell ref="I8:J8"/>
    <mergeCell ref="I68:J68"/>
    <mergeCell ref="I69:J69"/>
    <mergeCell ref="L69:U69"/>
    <mergeCell ref="Z6:AA6"/>
    <mergeCell ref="A7:A8"/>
    <mergeCell ref="B7:B8"/>
    <mergeCell ref="C7:C8"/>
    <mergeCell ref="D7:D8"/>
    <mergeCell ref="E7:F7"/>
    <mergeCell ref="G7:H7"/>
    <mergeCell ref="I7:K7"/>
    <mergeCell ref="L7:M7"/>
    <mergeCell ref="Z7:AA7"/>
    <mergeCell ref="V7:W7"/>
    <mergeCell ref="X7:Y7"/>
    <mergeCell ref="P6:Q6"/>
    <mergeCell ref="R6:S6"/>
    <mergeCell ref="T6:U6"/>
    <mergeCell ref="V6:W6"/>
    <mergeCell ref="X6:Y6"/>
    <mergeCell ref="E6:F6"/>
    <mergeCell ref="G6:H6"/>
    <mergeCell ref="I6:K6"/>
    <mergeCell ref="L6:M6"/>
    <mergeCell ref="N6:O6"/>
    <mergeCell ref="A1:AC1"/>
    <mergeCell ref="A2:AC2"/>
    <mergeCell ref="A3:AC3"/>
    <mergeCell ref="E5:F5"/>
    <mergeCell ref="G5:H5"/>
    <mergeCell ref="I5:K5"/>
    <mergeCell ref="L5:S5"/>
    <mergeCell ref="T5:U5"/>
    <mergeCell ref="V5:W5"/>
    <mergeCell ref="X5:Y5"/>
    <mergeCell ref="Z5:AA5"/>
  </mergeCells>
  <pageMargins left="0.25" right="0.25" top="0.75" bottom="0.75" header="0.3" footer="0.3"/>
  <pageSetup paperSize="5" orientation="landscape" horizontalDpi="4294967293" verticalDpi="0" r:id="rId1"/>
  <rowBreaks count="3" manualBreakCount="3">
    <brk id="16" max="27" man="1"/>
    <brk id="31" max="27" man="1"/>
    <brk id="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1"/>
  <sheetViews>
    <sheetView topLeftCell="C5" zoomScale="80" zoomScaleNormal="80" workbookViewId="0">
      <pane xSplit="2" ySplit="3" topLeftCell="G17" activePane="bottomRight" state="frozen"/>
      <selection activeCell="C52" sqref="C52"/>
      <selection pane="topRight" activeCell="C52" sqref="C52"/>
      <selection pane="bottomLeft" activeCell="C52" sqref="C52"/>
      <selection pane="bottomRight" activeCell="C52" sqref="C52"/>
    </sheetView>
  </sheetViews>
  <sheetFormatPr defaultColWidth="9.140625" defaultRowHeight="16.5" x14ac:dyDescent="0.25"/>
  <cols>
    <col min="1" max="1" width="5.42578125" style="19" customWidth="1"/>
    <col min="2" max="2" width="17.85546875" style="19" customWidth="1"/>
    <col min="3" max="3" width="18.85546875" style="19" customWidth="1"/>
    <col min="4" max="4" width="17.42578125" style="19" customWidth="1"/>
    <col min="5" max="5" width="4.28515625" style="19" customWidth="1"/>
    <col min="6" max="6" width="28.140625" style="19" customWidth="1"/>
    <col min="7" max="7" width="4.42578125" style="19" customWidth="1"/>
    <col min="8" max="8" width="5.85546875" style="19" customWidth="1"/>
    <col min="9" max="9" width="4.5703125" style="19" customWidth="1"/>
    <col min="10" max="10" width="8.28515625" style="19" customWidth="1"/>
    <col min="11" max="11" width="14.5703125" style="19" bestFit="1" customWidth="1"/>
    <col min="12" max="12" width="5.5703125" style="19" customWidth="1"/>
    <col min="13" max="13" width="16.28515625" style="19" customWidth="1"/>
    <col min="14" max="14" width="6.140625" style="19" customWidth="1"/>
    <col min="15" max="15" width="14.42578125" style="19" customWidth="1"/>
    <col min="16" max="16" width="5.42578125" style="19" customWidth="1"/>
    <col min="17" max="17" width="16.85546875" style="19" customWidth="1"/>
    <col min="18" max="18" width="8" style="19" customWidth="1"/>
    <col min="19" max="19" width="19" style="19" customWidth="1"/>
    <col min="20" max="20" width="9.28515625" style="19" customWidth="1"/>
    <col min="21" max="21" width="15" style="19" customWidth="1"/>
    <col min="22" max="22" width="11.42578125" style="19" customWidth="1"/>
    <col min="23" max="23" width="10.42578125" style="19" customWidth="1"/>
    <col min="24" max="24" width="9.28515625" style="19" bestFit="1" customWidth="1"/>
    <col min="25" max="25" width="15.42578125" style="19" customWidth="1"/>
    <col min="26" max="27" width="9.140625" style="19"/>
    <col min="28" max="28" width="33.85546875" style="22" customWidth="1"/>
    <col min="29" max="29" width="27" style="22" customWidth="1"/>
    <col min="30" max="31" width="9.140625" style="19"/>
    <col min="32" max="34" width="9.140625" style="20"/>
    <col min="35" max="35" width="9.140625" style="19"/>
    <col min="36" max="16384" width="9.140625" style="21"/>
  </cols>
  <sheetData>
    <row r="1" spans="1:35" x14ac:dyDescent="0.25">
      <c r="A1" s="288" t="s">
        <v>128</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row>
    <row r="2" spans="1:35" x14ac:dyDescent="0.25">
      <c r="A2" s="288" t="s">
        <v>129</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row>
    <row r="3" spans="1:35" x14ac:dyDescent="0.25">
      <c r="A3" s="289" t="s">
        <v>130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row>
    <row r="4" spans="1:35" ht="14.65" customHeight="1" thickBot="1" x14ac:dyDescent="0.3"/>
    <row r="5" spans="1:35" ht="104.25" customHeight="1" x14ac:dyDescent="0.25">
      <c r="A5" s="23" t="s">
        <v>131</v>
      </c>
      <c r="B5" s="24" t="s">
        <v>132</v>
      </c>
      <c r="C5" s="24" t="s">
        <v>133</v>
      </c>
      <c r="D5" s="24" t="s">
        <v>134</v>
      </c>
      <c r="E5" s="290" t="s">
        <v>135</v>
      </c>
      <c r="F5" s="290"/>
      <c r="G5" s="290" t="s">
        <v>136</v>
      </c>
      <c r="H5" s="290"/>
      <c r="I5" s="290" t="s">
        <v>137</v>
      </c>
      <c r="J5" s="290"/>
      <c r="K5" s="290"/>
      <c r="L5" s="290" t="s">
        <v>138</v>
      </c>
      <c r="M5" s="290"/>
      <c r="N5" s="290"/>
      <c r="O5" s="290"/>
      <c r="P5" s="290"/>
      <c r="Q5" s="290"/>
      <c r="R5" s="290"/>
      <c r="S5" s="290"/>
      <c r="T5" s="290" t="s">
        <v>139</v>
      </c>
      <c r="U5" s="290"/>
      <c r="V5" s="290" t="s">
        <v>140</v>
      </c>
      <c r="W5" s="290"/>
      <c r="X5" s="290" t="s">
        <v>141</v>
      </c>
      <c r="Y5" s="290"/>
      <c r="Z5" s="290" t="s">
        <v>142</v>
      </c>
      <c r="AA5" s="291"/>
      <c r="AB5" s="25" t="s">
        <v>143</v>
      </c>
      <c r="AC5" s="26" t="s">
        <v>144</v>
      </c>
    </row>
    <row r="6" spans="1:35" x14ac:dyDescent="0.25">
      <c r="A6" s="27"/>
      <c r="B6" s="28"/>
      <c r="C6" s="29"/>
      <c r="D6" s="29"/>
      <c r="E6" s="292"/>
      <c r="F6" s="292"/>
      <c r="G6" s="293"/>
      <c r="H6" s="294"/>
      <c r="I6" s="295"/>
      <c r="J6" s="295"/>
      <c r="K6" s="295"/>
      <c r="L6" s="292" t="s">
        <v>145</v>
      </c>
      <c r="M6" s="292"/>
      <c r="N6" s="296" t="s">
        <v>146</v>
      </c>
      <c r="O6" s="296"/>
      <c r="P6" s="296" t="s">
        <v>147</v>
      </c>
      <c r="Q6" s="296"/>
      <c r="R6" s="297" t="s">
        <v>148</v>
      </c>
      <c r="S6" s="297"/>
      <c r="T6" s="293"/>
      <c r="U6" s="294"/>
      <c r="V6" s="292"/>
      <c r="W6" s="292"/>
      <c r="X6" s="295"/>
      <c r="Y6" s="295"/>
      <c r="Z6" s="295"/>
      <c r="AA6" s="298"/>
      <c r="AB6" s="30"/>
      <c r="AC6" s="31"/>
    </row>
    <row r="7" spans="1:35" ht="15" customHeight="1" x14ac:dyDescent="0.25">
      <c r="A7" s="299">
        <v>1</v>
      </c>
      <c r="B7" s="292">
        <v>2</v>
      </c>
      <c r="C7" s="292">
        <v>3</v>
      </c>
      <c r="D7" s="292">
        <v>4</v>
      </c>
      <c r="E7" s="292">
        <v>5</v>
      </c>
      <c r="F7" s="292"/>
      <c r="G7" s="292">
        <v>6</v>
      </c>
      <c r="H7" s="292"/>
      <c r="I7" s="293">
        <v>7</v>
      </c>
      <c r="J7" s="300"/>
      <c r="K7" s="294"/>
      <c r="L7" s="292">
        <v>8</v>
      </c>
      <c r="M7" s="292"/>
      <c r="N7" s="296">
        <v>9</v>
      </c>
      <c r="O7" s="296"/>
      <c r="P7" s="296">
        <v>10</v>
      </c>
      <c r="Q7" s="296"/>
      <c r="R7" s="297">
        <v>11</v>
      </c>
      <c r="S7" s="297"/>
      <c r="T7" s="292">
        <v>12</v>
      </c>
      <c r="U7" s="292"/>
      <c r="V7" s="292" t="s">
        <v>149</v>
      </c>
      <c r="W7" s="292"/>
      <c r="X7" s="292" t="s">
        <v>150</v>
      </c>
      <c r="Y7" s="292"/>
      <c r="Z7" s="292" t="s">
        <v>151</v>
      </c>
      <c r="AA7" s="293"/>
      <c r="AB7" s="32">
        <v>16</v>
      </c>
      <c r="AC7" s="33">
        <v>17</v>
      </c>
    </row>
    <row r="8" spans="1:35" x14ac:dyDescent="0.25">
      <c r="A8" s="299"/>
      <c r="B8" s="292"/>
      <c r="C8" s="292"/>
      <c r="D8" s="292"/>
      <c r="E8" s="34" t="s">
        <v>152</v>
      </c>
      <c r="F8" s="34" t="s">
        <v>153</v>
      </c>
      <c r="G8" s="34" t="s">
        <v>152</v>
      </c>
      <c r="H8" s="34" t="s">
        <v>153</v>
      </c>
      <c r="I8" s="302" t="s">
        <v>152</v>
      </c>
      <c r="J8" s="303"/>
      <c r="K8" s="34" t="s">
        <v>153</v>
      </c>
      <c r="L8" s="34" t="s">
        <v>152</v>
      </c>
      <c r="M8" s="34" t="s">
        <v>153</v>
      </c>
      <c r="N8" s="35" t="s">
        <v>152</v>
      </c>
      <c r="O8" s="35" t="s">
        <v>153</v>
      </c>
      <c r="P8" s="35" t="s">
        <v>152</v>
      </c>
      <c r="Q8" s="35" t="s">
        <v>153</v>
      </c>
      <c r="R8" s="35" t="s">
        <v>152</v>
      </c>
      <c r="S8" s="35" t="s">
        <v>153</v>
      </c>
      <c r="T8" s="34" t="s">
        <v>152</v>
      </c>
      <c r="U8" s="34" t="s">
        <v>153</v>
      </c>
      <c r="V8" s="34" t="s">
        <v>152</v>
      </c>
      <c r="W8" s="34" t="s">
        <v>153</v>
      </c>
      <c r="X8" s="34" t="s">
        <v>152</v>
      </c>
      <c r="Y8" s="34" t="s">
        <v>153</v>
      </c>
      <c r="Z8" s="34" t="s">
        <v>152</v>
      </c>
      <c r="AA8" s="36" t="s">
        <v>153</v>
      </c>
      <c r="AB8" s="37"/>
      <c r="AC8" s="38"/>
    </row>
    <row r="9" spans="1:35" s="57" customFormat="1" ht="76.5" customHeight="1" x14ac:dyDescent="0.25">
      <c r="A9" s="39"/>
      <c r="B9" s="40"/>
      <c r="C9" s="41" t="s">
        <v>154</v>
      </c>
      <c r="D9" s="42"/>
      <c r="E9" s="43"/>
      <c r="F9" s="44"/>
      <c r="G9" s="43"/>
      <c r="H9" s="44"/>
      <c r="I9" s="45"/>
      <c r="J9" s="46"/>
      <c r="K9" s="47">
        <f>0+K10+K17+K21+K23+K26+K32+K34+K38+K42+K50+K53+K62+K65</f>
        <v>11623386261</v>
      </c>
      <c r="L9" s="48"/>
      <c r="M9" s="47">
        <f>0+M10+M17+M21+M23+M26+M32+M34+M38+M42+M50+M53+M62+M65</f>
        <v>1116709563</v>
      </c>
      <c r="N9" s="48"/>
      <c r="O9" s="47">
        <f>0+O10+O17+O21+O23+O26+O32+O34+O38+O42+O50+O53+O62+O65</f>
        <v>4558040883</v>
      </c>
      <c r="P9" s="48"/>
      <c r="Q9" s="47">
        <f>0+Q10+Q17+Q21+Q23+Q26+Q32+Q34+Q38+Q42+Q50+Q53+Q62+Q65</f>
        <v>2706868823</v>
      </c>
      <c r="R9" s="48"/>
      <c r="S9" s="47">
        <f>0+S10+S17+S21+S23+S26+S32+S34+S38+S42+S50+S53+S62+S65</f>
        <v>2421303294</v>
      </c>
      <c r="T9" s="47"/>
      <c r="U9" s="47">
        <f>0+U10+U17+U21+U23+U26+U32+U34+U38+U42+U50+U53+U62+U65</f>
        <v>9686213000</v>
      </c>
      <c r="V9" s="49"/>
      <c r="W9" s="49">
        <f>U9/K9*100%</f>
        <v>0.83333830456105495</v>
      </c>
      <c r="X9" s="50"/>
      <c r="Y9" s="47">
        <f t="shared" ref="Y9:Y67" si="0">U9+H9</f>
        <v>9686213000</v>
      </c>
      <c r="Z9" s="51"/>
      <c r="AA9" s="52">
        <f>IFERROR(Y9/F9,0)</f>
        <v>0</v>
      </c>
      <c r="AB9" s="53" t="s">
        <v>155</v>
      </c>
      <c r="AC9" s="54"/>
      <c r="AD9" s="55"/>
      <c r="AE9" s="55"/>
      <c r="AF9" s="56"/>
      <c r="AG9" s="56"/>
      <c r="AH9" s="56"/>
      <c r="AI9" s="55"/>
    </row>
    <row r="10" spans="1:35" s="74" customFormat="1" ht="72" customHeight="1" x14ac:dyDescent="0.25">
      <c r="A10" s="58"/>
      <c r="B10" s="59"/>
      <c r="C10" s="60" t="s">
        <v>156</v>
      </c>
      <c r="D10" s="60" t="s">
        <v>157</v>
      </c>
      <c r="E10" s="61"/>
      <c r="F10" s="62"/>
      <c r="G10" s="61"/>
      <c r="H10" s="62"/>
      <c r="I10" s="63"/>
      <c r="J10" s="64"/>
      <c r="K10" s="65">
        <f>0+K11+K13+K15+K16+K12+K14</f>
        <v>53416000</v>
      </c>
      <c r="L10" s="66"/>
      <c r="M10" s="65">
        <f>0+M11+M13+M15+M16+M12+M14</f>
        <v>8271400</v>
      </c>
      <c r="N10" s="66"/>
      <c r="O10" s="65">
        <f>0+O11+O13+O15+O16+O12+O14</f>
        <v>15311900</v>
      </c>
      <c r="P10" s="66"/>
      <c r="Q10" s="65">
        <f>0+Q11+Q13+Q15+Q16+Q12+Q14</f>
        <v>27524905</v>
      </c>
      <c r="R10" s="66"/>
      <c r="S10" s="65">
        <f>0+S11+S13+S15+S16+S12+S14</f>
        <v>2600200</v>
      </c>
      <c r="T10" s="65"/>
      <c r="U10" s="65">
        <f>0+U11+U13+U15+U16+U12+U14</f>
        <v>45437005</v>
      </c>
      <c r="V10" s="67"/>
      <c r="W10" s="67">
        <f>U10/K10*100%</f>
        <v>0.85062537441964958</v>
      </c>
      <c r="X10" s="68"/>
      <c r="Y10" s="65">
        <f t="shared" si="0"/>
        <v>45437005</v>
      </c>
      <c r="Z10" s="69"/>
      <c r="AA10" s="65">
        <f>0+AA11+AA13+AA15+AA16+AA12+AA14</f>
        <v>0</v>
      </c>
      <c r="AB10" s="70"/>
      <c r="AC10" s="71"/>
      <c r="AD10" s="72"/>
      <c r="AE10" s="72"/>
      <c r="AF10" s="73"/>
      <c r="AG10" s="73"/>
      <c r="AH10" s="73"/>
      <c r="AI10" s="72"/>
    </row>
    <row r="11" spans="1:35" ht="99.75" customHeight="1" x14ac:dyDescent="0.25">
      <c r="A11" s="75"/>
      <c r="B11" s="76"/>
      <c r="C11" s="77" t="s">
        <v>158</v>
      </c>
      <c r="D11" s="78" t="s">
        <v>159</v>
      </c>
      <c r="E11" s="79">
        <v>0</v>
      </c>
      <c r="F11" s="80">
        <v>0</v>
      </c>
      <c r="G11" s="79">
        <v>0</v>
      </c>
      <c r="H11" s="81">
        <v>0</v>
      </c>
      <c r="I11" s="82">
        <v>1</v>
      </c>
      <c r="J11" s="83" t="s">
        <v>160</v>
      </c>
      <c r="K11" s="80">
        <v>5979500</v>
      </c>
      <c r="L11" s="84" t="s">
        <v>161</v>
      </c>
      <c r="M11" s="85">
        <v>734200</v>
      </c>
      <c r="N11" s="85">
        <v>1</v>
      </c>
      <c r="O11" s="85">
        <v>1557900</v>
      </c>
      <c r="P11" s="86">
        <v>0</v>
      </c>
      <c r="Q11" s="86">
        <v>4421600</v>
      </c>
      <c r="R11" s="86" t="s">
        <v>162</v>
      </c>
      <c r="S11" s="86">
        <v>0</v>
      </c>
      <c r="T11" s="80">
        <f t="shared" ref="T11:U16" si="1">SUM(L11,N11,P11,R11)</f>
        <v>1</v>
      </c>
      <c r="U11" s="80">
        <f>SUM(O11,Q11)</f>
        <v>5979500</v>
      </c>
      <c r="V11" s="87">
        <f>T11/I11*100%</f>
        <v>1</v>
      </c>
      <c r="W11" s="87">
        <f t="shared" ref="W11:W67" si="2">U11/K11*100%</f>
        <v>1</v>
      </c>
      <c r="X11" s="80">
        <f t="shared" ref="X11:X16" si="3">T11+G11</f>
        <v>1</v>
      </c>
      <c r="Y11" s="80">
        <f t="shared" si="0"/>
        <v>5979500</v>
      </c>
      <c r="Z11" s="88">
        <f t="shared" ref="Z11:AA16" si="4">IFERROR(X11/E11,0)</f>
        <v>0</v>
      </c>
      <c r="AA11" s="89">
        <f t="shared" si="4"/>
        <v>0</v>
      </c>
      <c r="AB11" s="90"/>
      <c r="AC11" s="38"/>
    </row>
    <row r="12" spans="1:35" ht="99.75" customHeight="1" x14ac:dyDescent="0.25">
      <c r="A12" s="75"/>
      <c r="B12" s="76"/>
      <c r="C12" s="77" t="s">
        <v>163</v>
      </c>
      <c r="D12" s="91" t="s">
        <v>164</v>
      </c>
      <c r="E12" s="79">
        <v>0</v>
      </c>
      <c r="F12" s="80">
        <v>0</v>
      </c>
      <c r="G12" s="79">
        <v>0</v>
      </c>
      <c r="H12" s="81">
        <v>0</v>
      </c>
      <c r="I12" s="82">
        <v>1</v>
      </c>
      <c r="J12" s="83" t="s">
        <v>160</v>
      </c>
      <c r="K12" s="80">
        <v>4129500</v>
      </c>
      <c r="L12" s="85"/>
      <c r="M12" s="81"/>
      <c r="N12" s="85">
        <v>0</v>
      </c>
      <c r="O12" s="85"/>
      <c r="P12" s="86">
        <v>1</v>
      </c>
      <c r="Q12" s="86">
        <v>4129300</v>
      </c>
      <c r="R12" s="86">
        <v>0</v>
      </c>
      <c r="S12" s="86">
        <v>0</v>
      </c>
      <c r="T12" s="80">
        <f t="shared" si="1"/>
        <v>1</v>
      </c>
      <c r="U12" s="80">
        <f t="shared" si="1"/>
        <v>4129300</v>
      </c>
      <c r="V12" s="87">
        <f>T12/I12*100%</f>
        <v>1</v>
      </c>
      <c r="W12" s="87">
        <f t="shared" si="2"/>
        <v>0.99995156798643903</v>
      </c>
      <c r="X12" s="80">
        <f t="shared" si="3"/>
        <v>1</v>
      </c>
      <c r="Y12" s="80">
        <f t="shared" si="0"/>
        <v>4129300</v>
      </c>
      <c r="Z12" s="88">
        <f t="shared" si="4"/>
        <v>0</v>
      </c>
      <c r="AA12" s="89">
        <f t="shared" si="4"/>
        <v>0</v>
      </c>
      <c r="AB12" s="90"/>
      <c r="AC12" s="38"/>
    </row>
    <row r="13" spans="1:35" ht="99.75" customHeight="1" x14ac:dyDescent="0.25">
      <c r="A13" s="75"/>
      <c r="B13" s="76"/>
      <c r="C13" s="77" t="s">
        <v>165</v>
      </c>
      <c r="D13" s="92" t="s">
        <v>166</v>
      </c>
      <c r="E13" s="79">
        <v>0</v>
      </c>
      <c r="F13" s="80">
        <v>0</v>
      </c>
      <c r="G13" s="79">
        <v>0</v>
      </c>
      <c r="H13" s="81">
        <v>0</v>
      </c>
      <c r="I13" s="82">
        <v>1</v>
      </c>
      <c r="J13" s="93" t="s">
        <v>160</v>
      </c>
      <c r="K13" s="80">
        <v>4555500</v>
      </c>
      <c r="L13" s="84" t="s">
        <v>161</v>
      </c>
      <c r="M13" s="85">
        <v>641200</v>
      </c>
      <c r="N13" s="85">
        <v>1</v>
      </c>
      <c r="O13" s="85">
        <v>1348700</v>
      </c>
      <c r="P13" s="86">
        <v>0</v>
      </c>
      <c r="Q13" s="86">
        <v>956800</v>
      </c>
      <c r="R13" s="86">
        <v>0</v>
      </c>
      <c r="S13" s="86">
        <v>0</v>
      </c>
      <c r="T13" s="80">
        <f t="shared" si="1"/>
        <v>1</v>
      </c>
      <c r="U13" s="80">
        <f>SUM(O13,Q13,S13)</f>
        <v>2305500</v>
      </c>
      <c r="V13" s="87">
        <f t="shared" ref="V13:V16" si="5">T13/I13*100%</f>
        <v>1</v>
      </c>
      <c r="W13" s="87">
        <f t="shared" si="2"/>
        <v>0.50609153770167925</v>
      </c>
      <c r="X13" s="80">
        <f t="shared" si="3"/>
        <v>1</v>
      </c>
      <c r="Y13" s="80">
        <f t="shared" si="0"/>
        <v>2305500</v>
      </c>
      <c r="Z13" s="88">
        <f t="shared" si="4"/>
        <v>0</v>
      </c>
      <c r="AA13" s="89">
        <f t="shared" si="4"/>
        <v>0</v>
      </c>
      <c r="AB13" s="90"/>
      <c r="AC13" s="38"/>
    </row>
    <row r="14" spans="1:35" ht="99.75" customHeight="1" x14ac:dyDescent="0.25">
      <c r="A14" s="75"/>
      <c r="B14" s="76"/>
      <c r="C14" s="77" t="s">
        <v>167</v>
      </c>
      <c r="D14" s="94" t="s">
        <v>168</v>
      </c>
      <c r="E14" s="79">
        <v>0</v>
      </c>
      <c r="F14" s="80">
        <v>0</v>
      </c>
      <c r="G14" s="79">
        <v>0</v>
      </c>
      <c r="H14" s="81">
        <v>0</v>
      </c>
      <c r="I14" s="82">
        <v>1</v>
      </c>
      <c r="J14" s="83" t="s">
        <v>160</v>
      </c>
      <c r="K14" s="80">
        <v>4207400</v>
      </c>
      <c r="L14" s="85"/>
      <c r="M14" s="81">
        <v>0</v>
      </c>
      <c r="N14" s="85"/>
      <c r="O14" s="85"/>
      <c r="P14" s="86"/>
      <c r="Q14" s="86">
        <v>1000000</v>
      </c>
      <c r="R14" s="86">
        <v>1</v>
      </c>
      <c r="S14" s="86">
        <v>1500200</v>
      </c>
      <c r="T14" s="80">
        <f t="shared" si="1"/>
        <v>1</v>
      </c>
      <c r="U14" s="80">
        <f t="shared" si="1"/>
        <v>2500200</v>
      </c>
      <c r="V14" s="87">
        <f t="shared" si="5"/>
        <v>1</v>
      </c>
      <c r="W14" s="87">
        <f>U14/K14*100%</f>
        <v>0.59423872225127161</v>
      </c>
      <c r="X14" s="80">
        <f t="shared" si="3"/>
        <v>1</v>
      </c>
      <c r="Y14" s="80">
        <f t="shared" si="0"/>
        <v>2500200</v>
      </c>
      <c r="Z14" s="88">
        <f t="shared" si="4"/>
        <v>0</v>
      </c>
      <c r="AA14" s="89">
        <f t="shared" si="4"/>
        <v>0</v>
      </c>
      <c r="AB14" s="90"/>
      <c r="AC14" s="38"/>
    </row>
    <row r="15" spans="1:35" ht="99.75" customHeight="1" x14ac:dyDescent="0.25">
      <c r="A15" s="75"/>
      <c r="B15" s="76"/>
      <c r="C15" s="77" t="s">
        <v>169</v>
      </c>
      <c r="D15" s="95" t="s">
        <v>170</v>
      </c>
      <c r="E15" s="79">
        <v>0</v>
      </c>
      <c r="F15" s="80">
        <v>0</v>
      </c>
      <c r="G15" s="79">
        <v>0</v>
      </c>
      <c r="H15" s="81">
        <v>0</v>
      </c>
      <c r="I15" s="82">
        <v>2</v>
      </c>
      <c r="J15" s="83" t="s">
        <v>160</v>
      </c>
      <c r="K15" s="80">
        <v>26869300</v>
      </c>
      <c r="L15" s="85">
        <v>1</v>
      </c>
      <c r="M15" s="85">
        <v>4663200</v>
      </c>
      <c r="N15" s="85">
        <v>1</v>
      </c>
      <c r="O15" s="85">
        <v>9439900</v>
      </c>
      <c r="P15" s="86">
        <v>0</v>
      </c>
      <c r="Q15" s="86">
        <v>13807805</v>
      </c>
      <c r="R15" s="86" t="s">
        <v>162</v>
      </c>
      <c r="S15" s="86">
        <v>0</v>
      </c>
      <c r="T15" s="80">
        <f t="shared" si="1"/>
        <v>2</v>
      </c>
      <c r="U15" s="80">
        <f>SUM(O15,Q15,S15)</f>
        <v>23247705</v>
      </c>
      <c r="V15" s="87">
        <f t="shared" si="5"/>
        <v>1</v>
      </c>
      <c r="W15" s="87">
        <f>U15/K15*100%</f>
        <v>0.86521438965659692</v>
      </c>
      <c r="X15" s="80">
        <f t="shared" si="3"/>
        <v>2</v>
      </c>
      <c r="Y15" s="80">
        <f t="shared" si="0"/>
        <v>23247705</v>
      </c>
      <c r="Z15" s="88">
        <f t="shared" si="4"/>
        <v>0</v>
      </c>
      <c r="AA15" s="89">
        <f t="shared" si="4"/>
        <v>0</v>
      </c>
      <c r="AB15" s="90"/>
      <c r="AC15" s="38"/>
    </row>
    <row r="16" spans="1:35" ht="99.75" customHeight="1" x14ac:dyDescent="0.25">
      <c r="A16" s="75"/>
      <c r="B16" s="76"/>
      <c r="C16" s="77" t="s">
        <v>20</v>
      </c>
      <c r="D16" s="96" t="s">
        <v>171</v>
      </c>
      <c r="E16" s="79">
        <v>0</v>
      </c>
      <c r="F16" s="80">
        <v>0</v>
      </c>
      <c r="G16" s="79">
        <v>0</v>
      </c>
      <c r="H16" s="81">
        <v>0</v>
      </c>
      <c r="I16" s="82">
        <v>3</v>
      </c>
      <c r="J16" s="83" t="s">
        <v>160</v>
      </c>
      <c r="K16" s="80">
        <v>7674800</v>
      </c>
      <c r="L16" s="85">
        <v>1</v>
      </c>
      <c r="M16" s="85">
        <v>2232800</v>
      </c>
      <c r="N16" s="85">
        <v>2</v>
      </c>
      <c r="O16" s="85">
        <v>2965400</v>
      </c>
      <c r="P16" s="86">
        <v>0</v>
      </c>
      <c r="Q16" s="86">
        <v>3209400</v>
      </c>
      <c r="R16" s="86">
        <v>0</v>
      </c>
      <c r="S16" s="86">
        <v>1100000</v>
      </c>
      <c r="T16" s="80">
        <f t="shared" si="1"/>
        <v>3</v>
      </c>
      <c r="U16" s="80">
        <f>SUM(O16,Q16,S16)</f>
        <v>7274800</v>
      </c>
      <c r="V16" s="87">
        <f t="shared" si="5"/>
        <v>1</v>
      </c>
      <c r="W16" s="87">
        <f t="shared" si="2"/>
        <v>0.94788137801636529</v>
      </c>
      <c r="X16" s="80">
        <f t="shared" si="3"/>
        <v>3</v>
      </c>
      <c r="Y16" s="80">
        <f t="shared" si="0"/>
        <v>7274800</v>
      </c>
      <c r="Z16" s="88">
        <f t="shared" si="4"/>
        <v>0</v>
      </c>
      <c r="AA16" s="89">
        <f t="shared" si="4"/>
        <v>0</v>
      </c>
      <c r="AB16" s="90"/>
      <c r="AC16" s="38"/>
    </row>
    <row r="17" spans="1:35" s="74" customFormat="1" ht="47.25" customHeight="1" x14ac:dyDescent="0.25">
      <c r="A17" s="58"/>
      <c r="B17" s="59"/>
      <c r="C17" s="60" t="s">
        <v>172</v>
      </c>
      <c r="D17" s="97"/>
      <c r="E17" s="61"/>
      <c r="F17" s="62">
        <f>0+F18+F19+F20</f>
        <v>0</v>
      </c>
      <c r="G17" s="61"/>
      <c r="H17" s="62">
        <f>0+H18+H19+H20</f>
        <v>0</v>
      </c>
      <c r="I17" s="63"/>
      <c r="J17" s="64"/>
      <c r="K17" s="65">
        <f>0+K18+K19+K20</f>
        <v>4073339681</v>
      </c>
      <c r="L17" s="66"/>
      <c r="M17" s="65">
        <f>0+M18+M19+M20</f>
        <v>731176325</v>
      </c>
      <c r="N17" s="66"/>
      <c r="O17" s="65">
        <f>0+O18+O19+O20</f>
        <v>1816246484</v>
      </c>
      <c r="P17" s="66"/>
      <c r="Q17" s="65">
        <f>0+Q18+Q19+Q20</f>
        <v>1017404168</v>
      </c>
      <c r="R17" s="66"/>
      <c r="S17" s="65">
        <f>0+S18+S19+S20</f>
        <v>592357254</v>
      </c>
      <c r="T17" s="65"/>
      <c r="U17" s="65">
        <f>0+U18+U19+U20</f>
        <v>3426007906</v>
      </c>
      <c r="V17" s="67"/>
      <c r="W17" s="67">
        <f>U17/K17*100%</f>
        <v>0.84108082662011607</v>
      </c>
      <c r="X17" s="68"/>
      <c r="Y17" s="65">
        <f t="shared" si="0"/>
        <v>3426007906</v>
      </c>
      <c r="Z17" s="69"/>
      <c r="AA17" s="65">
        <f>0+AA18+AA19+AA20</f>
        <v>0</v>
      </c>
      <c r="AB17" s="70"/>
      <c r="AC17" s="71"/>
      <c r="AD17" s="72"/>
      <c r="AE17" s="72"/>
      <c r="AF17" s="73"/>
      <c r="AG17" s="73"/>
      <c r="AH17" s="73"/>
      <c r="AI17" s="72"/>
    </row>
    <row r="18" spans="1:35" ht="50.25" customHeight="1" x14ac:dyDescent="0.25">
      <c r="A18" s="75"/>
      <c r="B18" s="76"/>
      <c r="C18" s="77" t="s">
        <v>24</v>
      </c>
      <c r="D18" s="77" t="s">
        <v>173</v>
      </c>
      <c r="E18" s="79">
        <v>0</v>
      </c>
      <c r="F18" s="80">
        <v>0</v>
      </c>
      <c r="G18" s="79">
        <v>0</v>
      </c>
      <c r="H18" s="81">
        <v>0</v>
      </c>
      <c r="I18" s="82">
        <v>14</v>
      </c>
      <c r="J18" s="83" t="s">
        <v>174</v>
      </c>
      <c r="K18" s="80">
        <v>3974459381</v>
      </c>
      <c r="L18" s="85">
        <v>3</v>
      </c>
      <c r="M18" s="85">
        <v>716916325</v>
      </c>
      <c r="N18" s="85">
        <v>3</v>
      </c>
      <c r="O18" s="85">
        <v>1780596484</v>
      </c>
      <c r="P18" s="86">
        <v>3</v>
      </c>
      <c r="Q18" s="86">
        <v>995313368</v>
      </c>
      <c r="R18" s="86">
        <v>2</v>
      </c>
      <c r="S18" s="86">
        <v>573977254</v>
      </c>
      <c r="T18" s="80">
        <f>L18+N18+P18+R18</f>
        <v>11</v>
      </c>
      <c r="U18" s="80">
        <f>SUM(O18,Q18,S18)</f>
        <v>3349887106</v>
      </c>
      <c r="V18" s="87">
        <f>T18/I18*100%</f>
        <v>0.7857142857142857</v>
      </c>
      <c r="W18" s="87">
        <f>U18/K18*100%</f>
        <v>0.84285352669955993</v>
      </c>
      <c r="X18" s="80">
        <f>T18+G18</f>
        <v>11</v>
      </c>
      <c r="Y18" s="80">
        <f>U18+H18</f>
        <v>3349887106</v>
      </c>
      <c r="Z18" s="88">
        <f t="shared" ref="Z18:AA20" si="6">IFERROR(X18/E18,0)</f>
        <v>0</v>
      </c>
      <c r="AA18" s="89">
        <f t="shared" si="6"/>
        <v>0</v>
      </c>
      <c r="AB18" s="90"/>
      <c r="AC18" s="38"/>
    </row>
    <row r="19" spans="1:35" ht="68.25" customHeight="1" x14ac:dyDescent="0.25">
      <c r="A19" s="75"/>
      <c r="B19" s="76"/>
      <c r="C19" s="77" t="s">
        <v>175</v>
      </c>
      <c r="D19" s="77" t="s">
        <v>176</v>
      </c>
      <c r="E19" s="79">
        <v>0</v>
      </c>
      <c r="F19" s="80">
        <v>0</v>
      </c>
      <c r="G19" s="79">
        <v>0</v>
      </c>
      <c r="H19" s="81">
        <v>0</v>
      </c>
      <c r="I19" s="82">
        <v>1</v>
      </c>
      <c r="J19" s="83" t="s">
        <v>160</v>
      </c>
      <c r="K19" s="80">
        <v>54388300</v>
      </c>
      <c r="L19" s="81" t="s">
        <v>162</v>
      </c>
      <c r="M19" s="85">
        <v>8240000</v>
      </c>
      <c r="N19" s="85">
        <v>1</v>
      </c>
      <c r="O19" s="85">
        <v>20600000</v>
      </c>
      <c r="P19" s="86">
        <v>0</v>
      </c>
      <c r="Q19" s="86">
        <v>9563600</v>
      </c>
      <c r="R19" s="86">
        <v>0</v>
      </c>
      <c r="S19" s="86">
        <v>12360000</v>
      </c>
      <c r="T19" s="80">
        <f t="shared" ref="T19:T20" si="7">SUM(L19,N19,P19,R19)</f>
        <v>1</v>
      </c>
      <c r="U19" s="80">
        <f>SUM(O19,Q19,S19)</f>
        <v>42523600</v>
      </c>
      <c r="V19" s="87">
        <f>T19/I19*100%</f>
        <v>1</v>
      </c>
      <c r="W19" s="87">
        <f t="shared" si="2"/>
        <v>0.78185197919405458</v>
      </c>
      <c r="X19" s="80">
        <f>T19+G19</f>
        <v>1</v>
      </c>
      <c r="Y19" s="80">
        <f t="shared" si="0"/>
        <v>42523600</v>
      </c>
      <c r="Z19" s="88">
        <f t="shared" si="6"/>
        <v>0</v>
      </c>
      <c r="AA19" s="89">
        <f t="shared" si="6"/>
        <v>0</v>
      </c>
      <c r="AB19" s="90"/>
      <c r="AC19" s="38"/>
    </row>
    <row r="20" spans="1:35" ht="61.5" customHeight="1" x14ac:dyDescent="0.25">
      <c r="A20" s="75"/>
      <c r="B20" s="76"/>
      <c r="C20" s="77" t="s">
        <v>177</v>
      </c>
      <c r="D20" s="77" t="s">
        <v>178</v>
      </c>
      <c r="E20" s="79">
        <v>0</v>
      </c>
      <c r="F20" s="80">
        <v>0</v>
      </c>
      <c r="G20" s="79">
        <v>0</v>
      </c>
      <c r="H20" s="81">
        <v>0</v>
      </c>
      <c r="I20" s="82">
        <v>2</v>
      </c>
      <c r="J20" s="83" t="s">
        <v>160</v>
      </c>
      <c r="K20" s="80">
        <v>44492000</v>
      </c>
      <c r="L20" s="81" t="s">
        <v>162</v>
      </c>
      <c r="M20" s="85">
        <v>6020000</v>
      </c>
      <c r="N20" s="85">
        <v>1</v>
      </c>
      <c r="O20" s="85">
        <v>15050000</v>
      </c>
      <c r="P20" s="86">
        <v>0</v>
      </c>
      <c r="Q20" s="86">
        <v>12527200</v>
      </c>
      <c r="R20" s="86">
        <v>1</v>
      </c>
      <c r="S20" s="86">
        <v>6020000</v>
      </c>
      <c r="T20" s="80">
        <f t="shared" si="7"/>
        <v>2</v>
      </c>
      <c r="U20" s="80">
        <f>SUM(O20,Q20,S20)</f>
        <v>33597200</v>
      </c>
      <c r="V20" s="87">
        <f>T20/I20*100%</f>
        <v>1</v>
      </c>
      <c r="W20" s="87">
        <f t="shared" si="2"/>
        <v>0.75512901195720583</v>
      </c>
      <c r="X20" s="80">
        <f>T20+G20</f>
        <v>2</v>
      </c>
      <c r="Y20" s="80">
        <f t="shared" si="0"/>
        <v>33597200</v>
      </c>
      <c r="Z20" s="88">
        <f t="shared" si="6"/>
        <v>0</v>
      </c>
      <c r="AA20" s="89">
        <f t="shared" si="6"/>
        <v>0</v>
      </c>
      <c r="AB20" s="90"/>
      <c r="AC20" s="38"/>
    </row>
    <row r="21" spans="1:35" s="74" customFormat="1" ht="56.25" customHeight="1" x14ac:dyDescent="0.25">
      <c r="A21" s="58"/>
      <c r="B21" s="59"/>
      <c r="C21" s="60" t="s">
        <v>179</v>
      </c>
      <c r="D21" s="97"/>
      <c r="E21" s="61"/>
      <c r="F21" s="62">
        <f>0+F22</f>
        <v>0</v>
      </c>
      <c r="G21" s="61"/>
      <c r="H21" s="62">
        <f>0+H22</f>
        <v>0</v>
      </c>
      <c r="I21" s="63"/>
      <c r="J21" s="64"/>
      <c r="K21" s="65">
        <f>0+K22</f>
        <v>26768100</v>
      </c>
      <c r="L21" s="66"/>
      <c r="M21" s="65">
        <f>0+M22</f>
        <v>2025000</v>
      </c>
      <c r="N21" s="66"/>
      <c r="O21" s="65">
        <f>0+O22</f>
        <v>12695900</v>
      </c>
      <c r="P21" s="66"/>
      <c r="Q21" s="65">
        <f>0+Q22</f>
        <v>4050000</v>
      </c>
      <c r="R21" s="66"/>
      <c r="S21" s="65">
        <f>0+S22</f>
        <v>6075000</v>
      </c>
      <c r="T21" s="65"/>
      <c r="U21" s="65">
        <f>0+U22</f>
        <v>22820900</v>
      </c>
      <c r="V21" s="67"/>
      <c r="W21" s="67">
        <f t="shared" si="2"/>
        <v>0.85254089756090268</v>
      </c>
      <c r="X21" s="68"/>
      <c r="Y21" s="65">
        <f t="shared" si="0"/>
        <v>22820900</v>
      </c>
      <c r="Z21" s="69"/>
      <c r="AA21" s="65">
        <f>0+AA22</f>
        <v>0</v>
      </c>
      <c r="AB21" s="70"/>
      <c r="AC21" s="71"/>
      <c r="AD21" s="72"/>
      <c r="AE21" s="72"/>
      <c r="AF21" s="73"/>
      <c r="AG21" s="73"/>
      <c r="AH21" s="73"/>
      <c r="AI21" s="72"/>
    </row>
    <row r="22" spans="1:35" ht="66" customHeight="1" x14ac:dyDescent="0.25">
      <c r="A22" s="75"/>
      <c r="B22" s="76"/>
      <c r="C22" s="77" t="s">
        <v>180</v>
      </c>
      <c r="D22" s="95" t="s">
        <v>181</v>
      </c>
      <c r="E22" s="79">
        <v>0</v>
      </c>
      <c r="F22" s="80">
        <v>0</v>
      </c>
      <c r="G22" s="79">
        <v>0</v>
      </c>
      <c r="H22" s="81">
        <v>0</v>
      </c>
      <c r="I22" s="82">
        <v>1</v>
      </c>
      <c r="J22" s="83" t="s">
        <v>160</v>
      </c>
      <c r="K22" s="80">
        <v>26768100</v>
      </c>
      <c r="L22" s="85" t="s">
        <v>162</v>
      </c>
      <c r="M22" s="85">
        <v>2025000</v>
      </c>
      <c r="N22" s="85">
        <v>1</v>
      </c>
      <c r="O22" s="85">
        <v>12695900</v>
      </c>
      <c r="P22" s="86">
        <v>0</v>
      </c>
      <c r="Q22" s="86">
        <v>4050000</v>
      </c>
      <c r="R22" s="86">
        <v>0</v>
      </c>
      <c r="S22" s="86">
        <v>6075000</v>
      </c>
      <c r="T22" s="80">
        <f>SUM(L22,N22,P22,R22)</f>
        <v>1</v>
      </c>
      <c r="U22" s="80">
        <f>SUM(O22,Q22,S22)</f>
        <v>22820900</v>
      </c>
      <c r="V22" s="87">
        <f>T22/I22*100%</f>
        <v>1</v>
      </c>
      <c r="W22" s="87">
        <f t="shared" si="2"/>
        <v>0.85254089756090268</v>
      </c>
      <c r="X22" s="80">
        <f>T22+G22</f>
        <v>1</v>
      </c>
      <c r="Y22" s="80">
        <f t="shared" si="0"/>
        <v>22820900</v>
      </c>
      <c r="Z22" s="88">
        <f>IFERROR(X22/E22,0)</f>
        <v>0</v>
      </c>
      <c r="AA22" s="89">
        <f>IFERROR(Y22/F22,0)</f>
        <v>0</v>
      </c>
      <c r="AB22" s="90"/>
      <c r="AC22" s="38"/>
    </row>
    <row r="23" spans="1:35" s="74" customFormat="1" ht="44.25" customHeight="1" x14ac:dyDescent="0.25">
      <c r="A23" s="58"/>
      <c r="B23" s="59"/>
      <c r="C23" s="60" t="s">
        <v>182</v>
      </c>
      <c r="D23" s="97"/>
      <c r="E23" s="61"/>
      <c r="F23" s="62">
        <f>0+F24</f>
        <v>0</v>
      </c>
      <c r="G23" s="61"/>
      <c r="H23" s="62">
        <f>0+H24</f>
        <v>0</v>
      </c>
      <c r="I23" s="63"/>
      <c r="J23" s="64"/>
      <c r="K23" s="65">
        <f>0+K24+K25</f>
        <v>151578000</v>
      </c>
      <c r="L23" s="66"/>
      <c r="M23" s="65">
        <f>0+M24+M25</f>
        <v>0</v>
      </c>
      <c r="N23" s="66"/>
      <c r="O23" s="65">
        <f>0+O24+O25</f>
        <v>0</v>
      </c>
      <c r="P23" s="66"/>
      <c r="Q23" s="65">
        <f>0+Q24+Q25</f>
        <v>84790007</v>
      </c>
      <c r="R23" s="66"/>
      <c r="S23" s="65">
        <f>0+S24+S25</f>
        <v>65654000</v>
      </c>
      <c r="T23" s="65"/>
      <c r="U23" s="65">
        <f>0+U24+U25</f>
        <v>150444007</v>
      </c>
      <c r="V23" s="67"/>
      <c r="W23" s="67">
        <f t="shared" si="2"/>
        <v>0.99251874942273943</v>
      </c>
      <c r="X23" s="68"/>
      <c r="Y23" s="65">
        <f t="shared" si="0"/>
        <v>150444007</v>
      </c>
      <c r="Z23" s="69"/>
      <c r="AA23" s="65">
        <f>0+AA24+AA25</f>
        <v>0</v>
      </c>
      <c r="AB23" s="70"/>
      <c r="AC23" s="71"/>
      <c r="AD23" s="72"/>
      <c r="AE23" s="72"/>
      <c r="AF23" s="73"/>
      <c r="AG23" s="73"/>
      <c r="AH23" s="73"/>
      <c r="AI23" s="72"/>
    </row>
    <row r="24" spans="1:35" ht="78" customHeight="1" x14ac:dyDescent="0.25">
      <c r="A24" s="75"/>
      <c r="B24" s="76"/>
      <c r="C24" s="77" t="s">
        <v>183</v>
      </c>
      <c r="D24" s="95" t="s">
        <v>184</v>
      </c>
      <c r="E24" s="79">
        <v>0</v>
      </c>
      <c r="F24" s="80">
        <v>0</v>
      </c>
      <c r="G24" s="79">
        <v>0</v>
      </c>
      <c r="H24" s="81">
        <v>0</v>
      </c>
      <c r="I24" s="82">
        <v>15</v>
      </c>
      <c r="J24" s="83" t="s">
        <v>185</v>
      </c>
      <c r="K24" s="80">
        <v>98578000</v>
      </c>
      <c r="L24" s="85">
        <v>0</v>
      </c>
      <c r="M24" s="85">
        <v>0</v>
      </c>
      <c r="N24" s="85"/>
      <c r="O24" s="85">
        <v>0</v>
      </c>
      <c r="P24" s="86">
        <v>5</v>
      </c>
      <c r="Q24" s="86">
        <v>76790007</v>
      </c>
      <c r="R24" s="86">
        <v>9</v>
      </c>
      <c r="S24" s="86">
        <v>20680000</v>
      </c>
      <c r="T24" s="80">
        <f>SUM(L24,N24,P24,R24)</f>
        <v>14</v>
      </c>
      <c r="U24" s="80">
        <f>SUM(M24,O24,Q24,S24)</f>
        <v>97470007</v>
      </c>
      <c r="V24" s="87">
        <f>T24/I24*100%</f>
        <v>0.93333333333333335</v>
      </c>
      <c r="W24" s="87">
        <f t="shared" si="2"/>
        <v>0.9887602406216397</v>
      </c>
      <c r="X24" s="80">
        <f>T24+G24</f>
        <v>14</v>
      </c>
      <c r="Y24" s="80">
        <f t="shared" si="0"/>
        <v>97470007</v>
      </c>
      <c r="Z24" s="88">
        <f>IFERROR(X24/E24,0)</f>
        <v>0</v>
      </c>
      <c r="AA24" s="89">
        <f>IFERROR(Y24/F24,0)</f>
        <v>0</v>
      </c>
      <c r="AB24" s="90"/>
      <c r="AC24" s="38"/>
    </row>
    <row r="25" spans="1:35" ht="98.25" customHeight="1" x14ac:dyDescent="0.25">
      <c r="A25" s="75"/>
      <c r="B25" s="76"/>
      <c r="C25" s="95" t="s">
        <v>186</v>
      </c>
      <c r="D25" s="98" t="s">
        <v>187</v>
      </c>
      <c r="E25" s="79">
        <v>0</v>
      </c>
      <c r="F25" s="80">
        <v>0</v>
      </c>
      <c r="G25" s="79">
        <v>0</v>
      </c>
      <c r="H25" s="81">
        <v>0</v>
      </c>
      <c r="I25" s="82">
        <v>15</v>
      </c>
      <c r="J25" s="83" t="s">
        <v>185</v>
      </c>
      <c r="K25" s="80">
        <v>53000000</v>
      </c>
      <c r="L25" s="85"/>
      <c r="M25" s="85">
        <v>0</v>
      </c>
      <c r="N25" s="85">
        <v>0</v>
      </c>
      <c r="O25" s="85">
        <v>0</v>
      </c>
      <c r="P25" s="86">
        <v>5</v>
      </c>
      <c r="Q25" s="86">
        <v>8000000</v>
      </c>
      <c r="R25" s="86">
        <v>10</v>
      </c>
      <c r="S25" s="86">
        <v>44974000</v>
      </c>
      <c r="T25" s="80">
        <f>SUM(L25,N25,P25,R25)</f>
        <v>15</v>
      </c>
      <c r="U25" s="80">
        <f>SUM(M25,O25,Q25,S25)</f>
        <v>52974000</v>
      </c>
      <c r="V25" s="87">
        <f>T25/I25*100%</f>
        <v>1</v>
      </c>
      <c r="W25" s="87">
        <f t="shared" si="2"/>
        <v>0.9995094339622641</v>
      </c>
      <c r="X25" s="80">
        <f>T25+G25</f>
        <v>15</v>
      </c>
      <c r="Y25" s="80">
        <f t="shared" si="0"/>
        <v>52974000</v>
      </c>
      <c r="Z25" s="88">
        <f>IFERROR(X25/E25,0)</f>
        <v>0</v>
      </c>
      <c r="AA25" s="89">
        <f>IFERROR(Y25/F25,0)</f>
        <v>0</v>
      </c>
      <c r="AB25" s="90"/>
      <c r="AC25" s="38"/>
    </row>
    <row r="26" spans="1:35" s="74" customFormat="1" ht="25.5" x14ac:dyDescent="0.25">
      <c r="A26" s="58"/>
      <c r="B26" s="59"/>
      <c r="C26" s="60" t="s">
        <v>42</v>
      </c>
      <c r="D26" s="97"/>
      <c r="E26" s="61"/>
      <c r="F26" s="62">
        <f>0+F27+F28+F29+F30+F31</f>
        <v>0</v>
      </c>
      <c r="G26" s="61"/>
      <c r="H26" s="62">
        <f>0+H27+H28+H29+H30+H31</f>
        <v>0</v>
      </c>
      <c r="I26" s="63"/>
      <c r="J26" s="64"/>
      <c r="K26" s="65">
        <f>0+K27+K28+K29+K30+K31</f>
        <v>351975399</v>
      </c>
      <c r="L26" s="66"/>
      <c r="M26" s="65">
        <f>0+M27+M28+M29+M30+M31</f>
        <v>32837914</v>
      </c>
      <c r="N26" s="66"/>
      <c r="O26" s="65">
        <f>0+O27+O28+O29+O30+O31</f>
        <v>132848822</v>
      </c>
      <c r="P26" s="66"/>
      <c r="Q26" s="65">
        <f>0+Q27+Q28+Q29+Q30+Q31</f>
        <v>55039314</v>
      </c>
      <c r="R26" s="66"/>
      <c r="S26" s="65">
        <f>0+S27+S28+S29+S30+S31</f>
        <v>130102190</v>
      </c>
      <c r="T26" s="65"/>
      <c r="U26" s="65">
        <f>0+U27+U28+U29+U30+U31</f>
        <v>317990326</v>
      </c>
      <c r="V26" s="67"/>
      <c r="W26" s="67">
        <f t="shared" si="2"/>
        <v>0.90344474898940308</v>
      </c>
      <c r="X26" s="68"/>
      <c r="Y26" s="65">
        <f t="shared" si="0"/>
        <v>317990326</v>
      </c>
      <c r="Z26" s="69"/>
      <c r="AA26" s="65">
        <f>0+AA27+AA28+AA29+AA30+AA31</f>
        <v>0</v>
      </c>
      <c r="AB26" s="70"/>
      <c r="AC26" s="71"/>
      <c r="AD26" s="72"/>
      <c r="AE26" s="72"/>
      <c r="AF26" s="73"/>
      <c r="AG26" s="73"/>
      <c r="AH26" s="73"/>
      <c r="AI26" s="72"/>
    </row>
    <row r="27" spans="1:35" ht="75" customHeight="1" x14ac:dyDescent="0.25">
      <c r="A27" s="75"/>
      <c r="B27" s="76"/>
      <c r="C27" s="77" t="s">
        <v>188</v>
      </c>
      <c r="D27" s="95" t="s">
        <v>189</v>
      </c>
      <c r="E27" s="79">
        <v>0</v>
      </c>
      <c r="F27" s="80">
        <v>0</v>
      </c>
      <c r="G27" s="79">
        <v>0</v>
      </c>
      <c r="H27" s="81">
        <v>0</v>
      </c>
      <c r="I27" s="82">
        <v>12</v>
      </c>
      <c r="J27" s="83" t="s">
        <v>174</v>
      </c>
      <c r="K27" s="80">
        <v>9250400</v>
      </c>
      <c r="L27" s="81">
        <v>0</v>
      </c>
      <c r="M27" s="81">
        <v>0</v>
      </c>
      <c r="N27" s="85">
        <v>6</v>
      </c>
      <c r="O27" s="85">
        <v>2915500</v>
      </c>
      <c r="P27" s="86">
        <v>3</v>
      </c>
      <c r="Q27" s="86">
        <v>488000</v>
      </c>
      <c r="R27" s="86">
        <v>2</v>
      </c>
      <c r="S27" s="86">
        <v>3434000</v>
      </c>
      <c r="T27" s="80">
        <f>N27+P27+R27</f>
        <v>11</v>
      </c>
      <c r="U27" s="80">
        <f>SUM(O27,Q27,S27)</f>
        <v>6837500</v>
      </c>
      <c r="V27" s="87">
        <f>T27/I27*100%</f>
        <v>0.91666666666666663</v>
      </c>
      <c r="W27" s="87">
        <f t="shared" si="2"/>
        <v>0.73915722563348607</v>
      </c>
      <c r="X27" s="80">
        <f>T27+G27</f>
        <v>11</v>
      </c>
      <c r="Y27" s="80">
        <f t="shared" si="0"/>
        <v>6837500</v>
      </c>
      <c r="Z27" s="88">
        <f t="shared" ref="Z27:AA31" si="8">IFERROR(X27/E27,0)</f>
        <v>0</v>
      </c>
      <c r="AA27" s="89">
        <f t="shared" si="8"/>
        <v>0</v>
      </c>
      <c r="AB27" s="90"/>
      <c r="AC27" s="38"/>
    </row>
    <row r="28" spans="1:35" ht="69" customHeight="1" x14ac:dyDescent="0.25">
      <c r="A28" s="75"/>
      <c r="B28" s="76"/>
      <c r="C28" s="77" t="s">
        <v>190</v>
      </c>
      <c r="D28" s="96" t="s">
        <v>191</v>
      </c>
      <c r="E28" s="79">
        <v>0</v>
      </c>
      <c r="F28" s="80">
        <v>0</v>
      </c>
      <c r="G28" s="79">
        <v>0</v>
      </c>
      <c r="H28" s="81">
        <v>0</v>
      </c>
      <c r="I28" s="82">
        <v>12</v>
      </c>
      <c r="J28" s="83" t="s">
        <v>174</v>
      </c>
      <c r="K28" s="80">
        <v>66729400</v>
      </c>
      <c r="L28" s="81">
        <v>0</v>
      </c>
      <c r="M28" s="81">
        <v>0</v>
      </c>
      <c r="N28" s="85">
        <v>6</v>
      </c>
      <c r="O28" s="85">
        <v>19003896</v>
      </c>
      <c r="P28" s="86">
        <v>3</v>
      </c>
      <c r="Q28" s="86">
        <v>22179800</v>
      </c>
      <c r="R28" s="86">
        <v>2</v>
      </c>
      <c r="S28" s="86">
        <v>8743400</v>
      </c>
      <c r="T28" s="80">
        <f>N28+P28+R28</f>
        <v>11</v>
      </c>
      <c r="U28" s="80">
        <f>SUM(O28,Q28,S28)</f>
        <v>49927096</v>
      </c>
      <c r="V28" s="87">
        <f>T28/I28*100%</f>
        <v>0.91666666666666663</v>
      </c>
      <c r="W28" s="87">
        <f t="shared" si="2"/>
        <v>0.74820238155895302</v>
      </c>
      <c r="X28" s="80">
        <f>T28+G28</f>
        <v>11</v>
      </c>
      <c r="Y28" s="80">
        <f t="shared" si="0"/>
        <v>49927096</v>
      </c>
      <c r="Z28" s="88">
        <f t="shared" si="8"/>
        <v>0</v>
      </c>
      <c r="AA28" s="89">
        <f t="shared" si="8"/>
        <v>0</v>
      </c>
      <c r="AB28" s="90"/>
      <c r="AC28" s="38"/>
    </row>
    <row r="29" spans="1:35" ht="90.75" customHeight="1" x14ac:dyDescent="0.25">
      <c r="A29" s="75"/>
      <c r="B29" s="76"/>
      <c r="C29" s="77" t="s">
        <v>48</v>
      </c>
      <c r="D29" s="95" t="s">
        <v>192</v>
      </c>
      <c r="E29" s="79">
        <v>0</v>
      </c>
      <c r="F29" s="80">
        <v>0</v>
      </c>
      <c r="G29" s="79">
        <v>0</v>
      </c>
      <c r="H29" s="81">
        <v>0</v>
      </c>
      <c r="I29" s="82">
        <v>12</v>
      </c>
      <c r="J29" s="83" t="s">
        <v>174</v>
      </c>
      <c r="K29" s="80">
        <v>51548900</v>
      </c>
      <c r="L29" s="85">
        <v>3</v>
      </c>
      <c r="M29" s="85">
        <v>2175000</v>
      </c>
      <c r="N29" s="85">
        <v>3</v>
      </c>
      <c r="O29" s="85">
        <v>20520300</v>
      </c>
      <c r="P29" s="86">
        <v>3</v>
      </c>
      <c r="Q29" s="86">
        <v>6750000</v>
      </c>
      <c r="R29" s="86">
        <v>2</v>
      </c>
      <c r="S29" s="86">
        <v>20837700</v>
      </c>
      <c r="T29" s="80">
        <f>L29+N29+P29+R29</f>
        <v>11</v>
      </c>
      <c r="U29" s="80">
        <f>SUM(O29,Q29,S29)</f>
        <v>48108000</v>
      </c>
      <c r="V29" s="87">
        <f>T29/I29*100%</f>
        <v>0.91666666666666663</v>
      </c>
      <c r="W29" s="87">
        <f t="shared" si="2"/>
        <v>0.93324978806531278</v>
      </c>
      <c r="X29" s="80">
        <f>T29+G29</f>
        <v>11</v>
      </c>
      <c r="Y29" s="80">
        <f t="shared" si="0"/>
        <v>48108000</v>
      </c>
      <c r="Z29" s="88">
        <f t="shared" si="8"/>
        <v>0</v>
      </c>
      <c r="AA29" s="89">
        <f t="shared" si="8"/>
        <v>0</v>
      </c>
      <c r="AB29" s="90"/>
      <c r="AC29" s="38"/>
    </row>
    <row r="30" spans="1:35" ht="84.75" customHeight="1" x14ac:dyDescent="0.25">
      <c r="A30" s="75"/>
      <c r="B30" s="76"/>
      <c r="C30" s="77" t="s">
        <v>193</v>
      </c>
      <c r="D30" s="96" t="s">
        <v>194</v>
      </c>
      <c r="E30" s="79">
        <v>0</v>
      </c>
      <c r="F30" s="80">
        <v>0</v>
      </c>
      <c r="G30" s="79">
        <v>0</v>
      </c>
      <c r="H30" s="81">
        <v>0</v>
      </c>
      <c r="I30" s="82">
        <v>12</v>
      </c>
      <c r="J30" s="83" t="s">
        <v>174</v>
      </c>
      <c r="K30" s="80">
        <v>22437200</v>
      </c>
      <c r="L30" s="81">
        <v>0</v>
      </c>
      <c r="M30" s="81">
        <v>0</v>
      </c>
      <c r="N30" s="85">
        <v>6</v>
      </c>
      <c r="O30" s="85">
        <v>7790200</v>
      </c>
      <c r="P30" s="86">
        <v>3</v>
      </c>
      <c r="Q30" s="86">
        <v>4124600</v>
      </c>
      <c r="R30" s="86">
        <v>2</v>
      </c>
      <c r="S30" s="86">
        <v>5517800</v>
      </c>
      <c r="T30" s="80">
        <f>L30+N30+P30+R30</f>
        <v>11</v>
      </c>
      <c r="U30" s="80">
        <f>SUM(O30,Q30,S30)</f>
        <v>17432600</v>
      </c>
      <c r="V30" s="87">
        <f>T30/I30*100%</f>
        <v>0.91666666666666663</v>
      </c>
      <c r="W30" s="87">
        <f t="shared" si="2"/>
        <v>0.77695077817196445</v>
      </c>
      <c r="X30" s="80">
        <f>T30+G30</f>
        <v>11</v>
      </c>
      <c r="Y30" s="80">
        <f t="shared" si="0"/>
        <v>17432600</v>
      </c>
      <c r="Z30" s="88">
        <f t="shared" si="8"/>
        <v>0</v>
      </c>
      <c r="AA30" s="89">
        <f t="shared" si="8"/>
        <v>0</v>
      </c>
      <c r="AB30" s="90"/>
      <c r="AC30" s="38"/>
    </row>
    <row r="31" spans="1:35" ht="63.75" customHeight="1" x14ac:dyDescent="0.25">
      <c r="A31" s="75"/>
      <c r="B31" s="76"/>
      <c r="C31" s="77" t="s">
        <v>195</v>
      </c>
      <c r="D31" s="95" t="s">
        <v>196</v>
      </c>
      <c r="E31" s="79">
        <v>0</v>
      </c>
      <c r="F31" s="80">
        <v>0</v>
      </c>
      <c r="G31" s="79">
        <v>0</v>
      </c>
      <c r="H31" s="81">
        <v>0</v>
      </c>
      <c r="I31" s="82">
        <v>12</v>
      </c>
      <c r="J31" s="83" t="s">
        <v>174</v>
      </c>
      <c r="K31" s="80">
        <v>202009499</v>
      </c>
      <c r="L31" s="85">
        <v>3</v>
      </c>
      <c r="M31" s="85">
        <v>30662914</v>
      </c>
      <c r="N31" s="85">
        <v>3</v>
      </c>
      <c r="O31" s="85">
        <v>82618926</v>
      </c>
      <c r="P31" s="86">
        <v>3</v>
      </c>
      <c r="Q31" s="86">
        <v>21496914</v>
      </c>
      <c r="R31" s="86">
        <v>2</v>
      </c>
      <c r="S31" s="86">
        <v>91569290</v>
      </c>
      <c r="T31" s="80">
        <f>L31+N31+P31+R31</f>
        <v>11</v>
      </c>
      <c r="U31" s="80">
        <f>SUM(O31,Q31,S31)</f>
        <v>195685130</v>
      </c>
      <c r="V31" s="87">
        <f>T31/I31*100%</f>
        <v>0.91666666666666663</v>
      </c>
      <c r="W31" s="87">
        <f t="shared" si="2"/>
        <v>0.96869271479159502</v>
      </c>
      <c r="X31" s="80">
        <f>T31+G31</f>
        <v>11</v>
      </c>
      <c r="Y31" s="80">
        <f t="shared" si="0"/>
        <v>195685130</v>
      </c>
      <c r="Z31" s="88">
        <f t="shared" si="8"/>
        <v>0</v>
      </c>
      <c r="AA31" s="89">
        <f t="shared" si="8"/>
        <v>0</v>
      </c>
      <c r="AB31" s="90"/>
      <c r="AC31" s="38"/>
    </row>
    <row r="32" spans="1:35" s="74" customFormat="1" ht="54.75" customHeight="1" x14ac:dyDescent="0.25">
      <c r="A32" s="58"/>
      <c r="B32" s="59"/>
      <c r="C32" s="60" t="s">
        <v>197</v>
      </c>
      <c r="D32" s="97"/>
      <c r="E32" s="61"/>
      <c r="F32" s="62" t="e">
        <f>0+F33+#REF!</f>
        <v>#REF!</v>
      </c>
      <c r="G32" s="61"/>
      <c r="H32" s="62">
        <v>0</v>
      </c>
      <c r="I32" s="63"/>
      <c r="J32" s="64"/>
      <c r="K32" s="65">
        <f>0+K33</f>
        <v>97110300</v>
      </c>
      <c r="L32" s="99"/>
      <c r="M32" s="65">
        <f>0+M33</f>
        <v>0</v>
      </c>
      <c r="N32" s="66"/>
      <c r="O32" s="65">
        <f>0+O33</f>
        <v>44100000</v>
      </c>
      <c r="P32" s="66"/>
      <c r="Q32" s="65">
        <f>0+Q33</f>
        <v>0</v>
      </c>
      <c r="R32" s="66"/>
      <c r="S32" s="65">
        <f>0+S33</f>
        <v>15000000</v>
      </c>
      <c r="T32" s="65"/>
      <c r="U32" s="65">
        <f>0+U33</f>
        <v>59100000</v>
      </c>
      <c r="V32" s="67"/>
      <c r="W32" s="67">
        <f t="shared" si="2"/>
        <v>0.60858631885598125</v>
      </c>
      <c r="X32" s="68"/>
      <c r="Y32" s="65">
        <f>U32+H32</f>
        <v>59100000</v>
      </c>
      <c r="Z32" s="69"/>
      <c r="AA32" s="65">
        <f>0+AA33</f>
        <v>0</v>
      </c>
      <c r="AB32" s="70"/>
      <c r="AC32" s="71"/>
      <c r="AD32" s="72"/>
      <c r="AE32" s="72"/>
      <c r="AF32" s="73"/>
      <c r="AG32" s="73"/>
      <c r="AH32" s="73"/>
      <c r="AI32" s="72"/>
    </row>
    <row r="33" spans="1:35" ht="54.75" customHeight="1" x14ac:dyDescent="0.25">
      <c r="A33" s="75"/>
      <c r="B33" s="76"/>
      <c r="C33" s="95" t="s">
        <v>58</v>
      </c>
      <c r="D33" s="95" t="s">
        <v>198</v>
      </c>
      <c r="E33" s="79">
        <v>0</v>
      </c>
      <c r="F33" s="80">
        <v>0</v>
      </c>
      <c r="G33" s="79">
        <v>0</v>
      </c>
      <c r="H33" s="81">
        <v>0</v>
      </c>
      <c r="I33" s="82">
        <v>45</v>
      </c>
      <c r="J33" s="83" t="s">
        <v>199</v>
      </c>
      <c r="K33" s="80">
        <v>97110300</v>
      </c>
      <c r="L33" s="85"/>
      <c r="M33" s="85"/>
      <c r="N33" s="85">
        <v>45</v>
      </c>
      <c r="O33" s="85">
        <v>44100000</v>
      </c>
      <c r="P33" s="86">
        <v>0</v>
      </c>
      <c r="Q33" s="86">
        <v>0</v>
      </c>
      <c r="R33" s="86">
        <v>0</v>
      </c>
      <c r="S33" s="86">
        <v>15000000</v>
      </c>
      <c r="T33" s="80">
        <f>SUM(L33,N33,P33,R33)</f>
        <v>45</v>
      </c>
      <c r="U33" s="80">
        <f>SUM(O33,Q33,S33)</f>
        <v>59100000</v>
      </c>
      <c r="V33" s="87">
        <f>T33/I33*100%</f>
        <v>1</v>
      </c>
      <c r="W33" s="87">
        <f t="shared" si="2"/>
        <v>0.60858631885598125</v>
      </c>
      <c r="X33" s="80">
        <f>T33+G33</f>
        <v>45</v>
      </c>
      <c r="Y33" s="80">
        <f t="shared" si="0"/>
        <v>59100000</v>
      </c>
      <c r="Z33" s="88">
        <f>IFERROR(X33/E33,0)</f>
        <v>0</v>
      </c>
      <c r="AA33" s="89">
        <f>IFERROR(Y33/F33,0)</f>
        <v>0</v>
      </c>
      <c r="AB33" s="90"/>
      <c r="AC33" s="38"/>
    </row>
    <row r="34" spans="1:35" s="74" customFormat="1" ht="52.5" customHeight="1" x14ac:dyDescent="0.25">
      <c r="A34" s="58"/>
      <c r="B34" s="59"/>
      <c r="C34" s="60" t="s">
        <v>62</v>
      </c>
      <c r="D34" s="97"/>
      <c r="E34" s="61"/>
      <c r="F34" s="62">
        <f>0+F35+F36+F37</f>
        <v>0</v>
      </c>
      <c r="G34" s="61"/>
      <c r="H34" s="62">
        <f>0+H35+H36+H37</f>
        <v>0</v>
      </c>
      <c r="I34" s="63"/>
      <c r="J34" s="64"/>
      <c r="K34" s="65">
        <f>0+K35+K36+K37</f>
        <v>520175000</v>
      </c>
      <c r="L34" s="99"/>
      <c r="M34" s="65">
        <f>0+M35+M36+M37</f>
        <v>96445126</v>
      </c>
      <c r="N34" s="66"/>
      <c r="O34" s="65">
        <f>0+O35+O36+O37</f>
        <v>228109330</v>
      </c>
      <c r="P34" s="66"/>
      <c r="Q34" s="65">
        <f>0+Q35+Q36+Q37</f>
        <v>128530467</v>
      </c>
      <c r="R34" s="66"/>
      <c r="S34" s="65">
        <f>0+S35+S36+S37</f>
        <v>86469498</v>
      </c>
      <c r="T34" s="65"/>
      <c r="U34" s="65">
        <f>0+U35+U36+U37</f>
        <v>443109295</v>
      </c>
      <c r="V34" s="67"/>
      <c r="W34" s="67">
        <f t="shared" si="2"/>
        <v>0.85184658047772388</v>
      </c>
      <c r="X34" s="68"/>
      <c r="Y34" s="65">
        <f t="shared" si="0"/>
        <v>443109295</v>
      </c>
      <c r="Z34" s="69"/>
      <c r="AA34" s="65">
        <f>0+AA35+AA36+AA37</f>
        <v>0</v>
      </c>
      <c r="AB34" s="70"/>
      <c r="AC34" s="71"/>
      <c r="AD34" s="72"/>
      <c r="AE34" s="72"/>
      <c r="AF34" s="73"/>
      <c r="AG34" s="73"/>
      <c r="AH34" s="73"/>
      <c r="AI34" s="72"/>
    </row>
    <row r="35" spans="1:35" ht="81" customHeight="1" x14ac:dyDescent="0.25">
      <c r="A35" s="75"/>
      <c r="B35" s="76"/>
      <c r="C35" s="77" t="s">
        <v>68</v>
      </c>
      <c r="D35" s="77" t="s">
        <v>200</v>
      </c>
      <c r="E35" s="79">
        <v>0</v>
      </c>
      <c r="F35" s="80">
        <v>0</v>
      </c>
      <c r="G35" s="79">
        <v>0</v>
      </c>
      <c r="H35" s="81">
        <v>0</v>
      </c>
      <c r="I35" s="82">
        <v>12</v>
      </c>
      <c r="J35" s="83" t="s">
        <v>174</v>
      </c>
      <c r="K35" s="80">
        <v>312800000</v>
      </c>
      <c r="L35" s="85">
        <v>3</v>
      </c>
      <c r="M35" s="85">
        <v>43700000</v>
      </c>
      <c r="N35" s="85">
        <v>3</v>
      </c>
      <c r="O35" s="85">
        <v>127600000</v>
      </c>
      <c r="P35" s="86">
        <v>3</v>
      </c>
      <c r="Q35" s="86">
        <v>73800000</v>
      </c>
      <c r="R35" s="86">
        <v>2</v>
      </c>
      <c r="S35" s="86">
        <v>49200000</v>
      </c>
      <c r="T35" s="80">
        <f>L35+N35+P35+R35</f>
        <v>11</v>
      </c>
      <c r="U35" s="80">
        <f>SUM(O35,Q35,S35)</f>
        <v>250600000</v>
      </c>
      <c r="V35" s="87">
        <f>T35/I35*100%</f>
        <v>0.91666666666666663</v>
      </c>
      <c r="W35" s="87">
        <f t="shared" si="2"/>
        <v>0.80115089514066495</v>
      </c>
      <c r="X35" s="80">
        <f>T35+G35</f>
        <v>11</v>
      </c>
      <c r="Y35" s="80">
        <f t="shared" si="0"/>
        <v>250600000</v>
      </c>
      <c r="Z35" s="88">
        <f t="shared" ref="Z35:AA37" si="9">IFERROR(X35/E35,0)</f>
        <v>0</v>
      </c>
      <c r="AA35" s="89">
        <f t="shared" si="9"/>
        <v>0</v>
      </c>
      <c r="AB35" s="90"/>
      <c r="AC35" s="38"/>
    </row>
    <row r="36" spans="1:35" ht="66.75" customHeight="1" x14ac:dyDescent="0.25">
      <c r="A36" s="75"/>
      <c r="B36" s="76"/>
      <c r="C36" s="77" t="s">
        <v>201</v>
      </c>
      <c r="D36" s="95" t="s">
        <v>202</v>
      </c>
      <c r="E36" s="79">
        <v>0</v>
      </c>
      <c r="F36" s="80">
        <v>0</v>
      </c>
      <c r="G36" s="79">
        <v>0</v>
      </c>
      <c r="H36" s="81">
        <v>0</v>
      </c>
      <c r="I36" s="82">
        <v>12</v>
      </c>
      <c r="J36" s="83" t="s">
        <v>174</v>
      </c>
      <c r="K36" s="80">
        <v>204450000</v>
      </c>
      <c r="L36" s="85">
        <v>3</v>
      </c>
      <c r="M36" s="85">
        <v>52745126</v>
      </c>
      <c r="N36" s="85">
        <v>3</v>
      </c>
      <c r="O36" s="85">
        <v>99339330</v>
      </c>
      <c r="P36" s="86">
        <v>3</v>
      </c>
      <c r="Q36" s="86">
        <v>53560467</v>
      </c>
      <c r="R36" s="86">
        <v>2</v>
      </c>
      <c r="S36" s="86">
        <v>36684498</v>
      </c>
      <c r="T36" s="80">
        <f>L36+N36+P36+R36</f>
        <v>11</v>
      </c>
      <c r="U36" s="80">
        <f>SUM(O36,Q36,S36)</f>
        <v>189584295</v>
      </c>
      <c r="V36" s="87">
        <f>T36/I36*100%</f>
        <v>0.91666666666666663</v>
      </c>
      <c r="W36" s="87">
        <f t="shared" si="2"/>
        <v>0.92728928833455615</v>
      </c>
      <c r="X36" s="80">
        <f>T36+G36</f>
        <v>11</v>
      </c>
      <c r="Y36" s="80">
        <f t="shared" si="0"/>
        <v>189584295</v>
      </c>
      <c r="Z36" s="88">
        <f t="shared" si="9"/>
        <v>0</v>
      </c>
      <c r="AA36" s="89">
        <f t="shared" si="9"/>
        <v>0</v>
      </c>
      <c r="AB36" s="90"/>
      <c r="AC36" s="38"/>
    </row>
    <row r="37" spans="1:35" ht="56.25" customHeight="1" x14ac:dyDescent="0.25">
      <c r="A37" s="75"/>
      <c r="B37" s="76"/>
      <c r="C37" s="95" t="s">
        <v>64</v>
      </c>
      <c r="D37" s="98" t="s">
        <v>203</v>
      </c>
      <c r="E37" s="79">
        <v>0</v>
      </c>
      <c r="F37" s="80">
        <v>0</v>
      </c>
      <c r="G37" s="79">
        <v>0</v>
      </c>
      <c r="H37" s="81">
        <v>0</v>
      </c>
      <c r="I37" s="82">
        <v>12</v>
      </c>
      <c r="J37" s="83" t="s">
        <v>174</v>
      </c>
      <c r="K37" s="80">
        <v>2925000</v>
      </c>
      <c r="L37" s="85">
        <v>0</v>
      </c>
      <c r="M37" s="85">
        <v>0</v>
      </c>
      <c r="N37" s="85">
        <v>6</v>
      </c>
      <c r="O37" s="85">
        <v>1170000</v>
      </c>
      <c r="P37" s="86">
        <v>3</v>
      </c>
      <c r="Q37" s="86">
        <v>1170000</v>
      </c>
      <c r="R37" s="86">
        <v>2</v>
      </c>
      <c r="S37" s="86">
        <v>585000</v>
      </c>
      <c r="T37" s="80">
        <f>L37+N37+P37+R37</f>
        <v>11</v>
      </c>
      <c r="U37" s="80">
        <f>SUM(O37,Q37,S37)</f>
        <v>2925000</v>
      </c>
      <c r="V37" s="87">
        <f>T37/I37*100%</f>
        <v>0.91666666666666663</v>
      </c>
      <c r="W37" s="87">
        <f t="shared" si="2"/>
        <v>1</v>
      </c>
      <c r="X37" s="80">
        <f>T37+G37</f>
        <v>11</v>
      </c>
      <c r="Y37" s="80">
        <f t="shared" si="0"/>
        <v>2925000</v>
      </c>
      <c r="Z37" s="88">
        <f t="shared" si="9"/>
        <v>0</v>
      </c>
      <c r="AA37" s="89">
        <f t="shared" si="9"/>
        <v>0</v>
      </c>
      <c r="AB37" s="90"/>
      <c r="AC37" s="38"/>
    </row>
    <row r="38" spans="1:35" s="74" customFormat="1" ht="62.25" customHeight="1" x14ac:dyDescent="0.25">
      <c r="A38" s="58"/>
      <c r="B38" s="59"/>
      <c r="C38" s="60" t="s">
        <v>204</v>
      </c>
      <c r="D38" s="97"/>
      <c r="E38" s="61"/>
      <c r="F38" s="62">
        <f>0+F39+F40</f>
        <v>0</v>
      </c>
      <c r="G38" s="61"/>
      <c r="H38" s="62">
        <f>0+H39+H40</f>
        <v>0</v>
      </c>
      <c r="I38" s="63"/>
      <c r="J38" s="64"/>
      <c r="K38" s="65">
        <f>0+K39+K40+K41</f>
        <v>131950000</v>
      </c>
      <c r="L38" s="99"/>
      <c r="M38" s="65">
        <f>0+M39+M40+M41</f>
        <v>30841098</v>
      </c>
      <c r="N38" s="66"/>
      <c r="O38" s="65">
        <f>0+O39+O40+O41</f>
        <v>82553275</v>
      </c>
      <c r="P38" s="66"/>
      <c r="Q38" s="65">
        <f>0+Q39+Q40+Q41</f>
        <v>15150000</v>
      </c>
      <c r="R38" s="66"/>
      <c r="S38" s="65">
        <f>0+S39+S40+S41</f>
        <v>33477725</v>
      </c>
      <c r="T38" s="65"/>
      <c r="U38" s="65">
        <f>0+U39+U40+U41</f>
        <v>131181000</v>
      </c>
      <c r="V38" s="67"/>
      <c r="W38" s="67">
        <f t="shared" si="2"/>
        <v>0.99417203486169003</v>
      </c>
      <c r="X38" s="68"/>
      <c r="Y38" s="65">
        <f t="shared" si="0"/>
        <v>131181000</v>
      </c>
      <c r="Z38" s="69"/>
      <c r="AA38" s="65">
        <f>0+AA39+AA40+AA41</f>
        <v>0</v>
      </c>
      <c r="AB38" s="70"/>
      <c r="AC38" s="71"/>
      <c r="AD38" s="72"/>
      <c r="AE38" s="72"/>
      <c r="AF38" s="73"/>
      <c r="AG38" s="73"/>
      <c r="AH38" s="73"/>
      <c r="AI38" s="72"/>
    </row>
    <row r="39" spans="1:35" ht="88.5" customHeight="1" x14ac:dyDescent="0.25">
      <c r="A39" s="75"/>
      <c r="B39" s="76"/>
      <c r="C39" s="77" t="s">
        <v>205</v>
      </c>
      <c r="D39" s="77" t="s">
        <v>206</v>
      </c>
      <c r="E39" s="79">
        <v>0</v>
      </c>
      <c r="F39" s="80">
        <v>0</v>
      </c>
      <c r="G39" s="79">
        <v>0</v>
      </c>
      <c r="H39" s="81">
        <v>0</v>
      </c>
      <c r="I39" s="82">
        <v>12</v>
      </c>
      <c r="J39" s="83" t="s">
        <v>174</v>
      </c>
      <c r="K39" s="80">
        <v>94520000</v>
      </c>
      <c r="L39" s="81">
        <v>3</v>
      </c>
      <c r="M39" s="85">
        <v>12931098</v>
      </c>
      <c r="N39" s="85">
        <v>3</v>
      </c>
      <c r="O39" s="85">
        <v>63173275</v>
      </c>
      <c r="P39" s="86">
        <v>3</v>
      </c>
      <c r="Q39" s="86">
        <v>12600000</v>
      </c>
      <c r="R39" s="86">
        <v>3</v>
      </c>
      <c r="S39" s="86">
        <v>18746725</v>
      </c>
      <c r="T39" s="80">
        <f>L39+N39+P39+R39</f>
        <v>12</v>
      </c>
      <c r="U39" s="80">
        <f>SUM(O39,Q39,S39)</f>
        <v>94520000</v>
      </c>
      <c r="V39" s="87">
        <f>T39/I39*100%</f>
        <v>1</v>
      </c>
      <c r="W39" s="87">
        <f t="shared" si="2"/>
        <v>1</v>
      </c>
      <c r="X39" s="80">
        <f>T39+G39</f>
        <v>12</v>
      </c>
      <c r="Y39" s="80">
        <f t="shared" si="0"/>
        <v>94520000</v>
      </c>
      <c r="Z39" s="88">
        <f t="shared" ref="Z39:AA41" si="10">IFERROR(X39/E39,0)</f>
        <v>0</v>
      </c>
      <c r="AA39" s="89">
        <f t="shared" si="10"/>
        <v>0</v>
      </c>
      <c r="AB39" s="90"/>
      <c r="AC39" s="38"/>
    </row>
    <row r="40" spans="1:35" ht="63.75" customHeight="1" x14ac:dyDescent="0.25">
      <c r="A40" s="75"/>
      <c r="B40" s="76"/>
      <c r="C40" s="77" t="s">
        <v>74</v>
      </c>
      <c r="D40" s="77" t="s">
        <v>207</v>
      </c>
      <c r="E40" s="79">
        <v>0</v>
      </c>
      <c r="F40" s="80">
        <v>0</v>
      </c>
      <c r="G40" s="79">
        <v>0</v>
      </c>
      <c r="H40" s="81">
        <v>0</v>
      </c>
      <c r="I40" s="82">
        <v>12</v>
      </c>
      <c r="J40" s="83" t="s">
        <v>174</v>
      </c>
      <c r="K40" s="80">
        <v>27430000</v>
      </c>
      <c r="L40" s="81">
        <v>3</v>
      </c>
      <c r="M40" s="85">
        <v>17910000</v>
      </c>
      <c r="N40" s="85">
        <v>3</v>
      </c>
      <c r="O40" s="85">
        <v>19380000</v>
      </c>
      <c r="P40" s="86">
        <v>3</v>
      </c>
      <c r="Q40" s="86">
        <v>2550000</v>
      </c>
      <c r="R40" s="86">
        <v>1</v>
      </c>
      <c r="S40" s="86">
        <v>5500000</v>
      </c>
      <c r="T40" s="80">
        <v>12</v>
      </c>
      <c r="U40" s="80">
        <f>SUM(O40,Q40,S40)</f>
        <v>27430000</v>
      </c>
      <c r="V40" s="87">
        <f>T40/I40*100%</f>
        <v>1</v>
      </c>
      <c r="W40" s="87">
        <f t="shared" si="2"/>
        <v>1</v>
      </c>
      <c r="X40" s="80">
        <f>T40+G40</f>
        <v>12</v>
      </c>
      <c r="Y40" s="80">
        <f t="shared" si="0"/>
        <v>27430000</v>
      </c>
      <c r="Z40" s="88">
        <f t="shared" si="10"/>
        <v>0</v>
      </c>
      <c r="AA40" s="89">
        <f t="shared" si="10"/>
        <v>0</v>
      </c>
      <c r="AB40" s="90"/>
      <c r="AC40" s="38"/>
    </row>
    <row r="41" spans="1:35" s="108" customFormat="1" ht="91.5" customHeight="1" x14ac:dyDescent="0.25">
      <c r="A41" s="100"/>
      <c r="B41" s="101"/>
      <c r="C41" s="102" t="s">
        <v>208</v>
      </c>
      <c r="D41" s="95" t="s">
        <v>209</v>
      </c>
      <c r="E41" s="79">
        <v>0</v>
      </c>
      <c r="F41" s="80">
        <v>0</v>
      </c>
      <c r="G41" s="79">
        <v>0</v>
      </c>
      <c r="H41" s="81">
        <v>0</v>
      </c>
      <c r="I41" s="82">
        <v>3</v>
      </c>
      <c r="J41" s="83" t="s">
        <v>210</v>
      </c>
      <c r="K41" s="81">
        <v>10000000</v>
      </c>
      <c r="L41" s="103" t="s">
        <v>162</v>
      </c>
      <c r="M41" s="103">
        <v>0</v>
      </c>
      <c r="N41" s="85"/>
      <c r="O41" s="85"/>
      <c r="P41" s="86">
        <v>0</v>
      </c>
      <c r="Q41" s="86">
        <v>0</v>
      </c>
      <c r="R41" s="86">
        <v>3</v>
      </c>
      <c r="S41" s="86">
        <v>9231000</v>
      </c>
      <c r="T41" s="80">
        <f t="shared" ref="T41:U41" si="11">SUM(L41,N41,P41,R41)</f>
        <v>3</v>
      </c>
      <c r="U41" s="80">
        <f t="shared" si="11"/>
        <v>9231000</v>
      </c>
      <c r="V41" s="87">
        <f>T41/I41*100%</f>
        <v>1</v>
      </c>
      <c r="W41" s="87">
        <f t="shared" si="2"/>
        <v>0.92310000000000003</v>
      </c>
      <c r="X41" s="80">
        <f>T41+G41</f>
        <v>3</v>
      </c>
      <c r="Y41" s="80">
        <f t="shared" si="0"/>
        <v>9231000</v>
      </c>
      <c r="Z41" s="88">
        <f t="shared" si="10"/>
        <v>0</v>
      </c>
      <c r="AA41" s="89">
        <f t="shared" si="10"/>
        <v>0</v>
      </c>
      <c r="AB41" s="104"/>
      <c r="AC41" s="105"/>
      <c r="AD41" s="106"/>
      <c r="AE41" s="106"/>
      <c r="AF41" s="107"/>
      <c r="AG41" s="107"/>
      <c r="AH41" s="107"/>
      <c r="AI41" s="106"/>
    </row>
    <row r="42" spans="1:35" s="117" customFormat="1" ht="91.5" customHeight="1" x14ac:dyDescent="0.25">
      <c r="A42" s="109"/>
      <c r="B42" s="110"/>
      <c r="C42" s="111" t="s">
        <v>211</v>
      </c>
      <c r="D42" s="112"/>
      <c r="E42" s="61"/>
      <c r="F42" s="62"/>
      <c r="G42" s="61"/>
      <c r="H42" s="62"/>
      <c r="I42" s="63"/>
      <c r="J42" s="64"/>
      <c r="K42" s="65">
        <f>0+K43+K44+K45+K46+K47+K48+K49</f>
        <v>2434944752</v>
      </c>
      <c r="L42" s="65"/>
      <c r="M42" s="65">
        <f>0+M43+M44+M45+M46+M47+M48+M49</f>
        <v>101603200</v>
      </c>
      <c r="N42" s="66"/>
      <c r="O42" s="65">
        <f>0+O43+O44+O45+O46+O47+O48+O49</f>
        <v>688935272</v>
      </c>
      <c r="P42" s="66"/>
      <c r="Q42" s="65">
        <f>0+Q43+Q44+Q45+Q46+Q47+Q48+Q49</f>
        <v>596733052</v>
      </c>
      <c r="R42" s="66"/>
      <c r="S42" s="65">
        <f>0+S43+S44+S45+S46+S47+S48+S49</f>
        <v>680048329</v>
      </c>
      <c r="T42" s="113"/>
      <c r="U42" s="65">
        <f>0+U43+U44+U45+U46+U47+U48+U49</f>
        <v>1965716653</v>
      </c>
      <c r="V42" s="67"/>
      <c r="W42" s="67">
        <f t="shared" si="2"/>
        <v>0.80729414964565893</v>
      </c>
      <c r="X42" s="68"/>
      <c r="Y42" s="65">
        <f t="shared" si="0"/>
        <v>1965716653</v>
      </c>
      <c r="Z42" s="69"/>
      <c r="AA42" s="65">
        <f>0+AA43+AA44+AA45+AA46+AA47+AA48+AA49</f>
        <v>0</v>
      </c>
      <c r="AB42" s="70"/>
      <c r="AC42" s="114"/>
      <c r="AD42" s="115"/>
      <c r="AE42" s="115"/>
      <c r="AF42" s="116"/>
      <c r="AG42" s="116"/>
      <c r="AH42" s="116"/>
      <c r="AI42" s="115"/>
    </row>
    <row r="43" spans="1:35" s="108" customFormat="1" ht="91.5" customHeight="1" x14ac:dyDescent="0.25">
      <c r="A43" s="100"/>
      <c r="B43" s="101"/>
      <c r="C43" s="118" t="s">
        <v>212</v>
      </c>
      <c r="D43" s="98" t="s">
        <v>213</v>
      </c>
      <c r="E43" s="79">
        <v>0</v>
      </c>
      <c r="F43" s="80">
        <v>0</v>
      </c>
      <c r="G43" s="79">
        <v>0</v>
      </c>
      <c r="H43" s="81">
        <v>0</v>
      </c>
      <c r="I43" s="82">
        <v>4</v>
      </c>
      <c r="J43" s="83" t="s">
        <v>214</v>
      </c>
      <c r="K43" s="81">
        <v>308613045</v>
      </c>
      <c r="L43" s="81" t="s">
        <v>162</v>
      </c>
      <c r="M43" s="81">
        <v>45593200</v>
      </c>
      <c r="N43" s="85">
        <v>2</v>
      </c>
      <c r="O43" s="85">
        <v>86299000</v>
      </c>
      <c r="P43" s="86">
        <v>0</v>
      </c>
      <c r="Q43" s="86">
        <v>51387000</v>
      </c>
      <c r="R43" s="86">
        <v>1</v>
      </c>
      <c r="S43" s="86">
        <v>153150000</v>
      </c>
      <c r="T43" s="80">
        <f t="shared" ref="T43:T44" si="12">SUM(L43,N43,P43,R43)</f>
        <v>3</v>
      </c>
      <c r="U43" s="80">
        <f t="shared" ref="U43:U48" si="13">SUM(O43,Q43,S43)</f>
        <v>290836000</v>
      </c>
      <c r="V43" s="87">
        <f>T43/I43*100%</f>
        <v>0.75</v>
      </c>
      <c r="W43" s="87">
        <f t="shared" si="2"/>
        <v>0.94239697482651774</v>
      </c>
      <c r="X43" s="80">
        <f t="shared" ref="X43:X49" si="14">T43+G43</f>
        <v>3</v>
      </c>
      <c r="Y43" s="80">
        <f t="shared" si="0"/>
        <v>290836000</v>
      </c>
      <c r="Z43" s="88">
        <f t="shared" ref="Z43:AA49" si="15">IFERROR(X43/E43,0)</f>
        <v>0</v>
      </c>
      <c r="AA43" s="89">
        <f t="shared" si="15"/>
        <v>0</v>
      </c>
      <c r="AB43" s="104"/>
      <c r="AC43" s="105"/>
      <c r="AD43" s="106"/>
      <c r="AE43" s="106"/>
      <c r="AF43" s="107"/>
      <c r="AG43" s="107"/>
      <c r="AH43" s="107"/>
      <c r="AI43" s="106"/>
    </row>
    <row r="44" spans="1:35" s="108" customFormat="1" ht="91.5" customHeight="1" x14ac:dyDescent="0.25">
      <c r="A44" s="100"/>
      <c r="B44" s="101"/>
      <c r="C44" s="118" t="s">
        <v>82</v>
      </c>
      <c r="D44" s="98" t="s">
        <v>215</v>
      </c>
      <c r="E44" s="79">
        <v>0</v>
      </c>
      <c r="F44" s="80">
        <v>0</v>
      </c>
      <c r="G44" s="79">
        <v>0</v>
      </c>
      <c r="H44" s="81">
        <v>0</v>
      </c>
      <c r="I44" s="82">
        <v>2</v>
      </c>
      <c r="J44" s="83" t="s">
        <v>216</v>
      </c>
      <c r="K44" s="81">
        <v>414982380</v>
      </c>
      <c r="L44" s="81" t="s">
        <v>162</v>
      </c>
      <c r="M44" s="81">
        <v>37400000</v>
      </c>
      <c r="N44" s="85">
        <v>1</v>
      </c>
      <c r="O44" s="85">
        <v>109093073</v>
      </c>
      <c r="P44" s="86">
        <v>0</v>
      </c>
      <c r="Q44" s="86">
        <v>100864307</v>
      </c>
      <c r="R44" s="86">
        <v>1</v>
      </c>
      <c r="S44" s="86">
        <v>52340000</v>
      </c>
      <c r="T44" s="80">
        <f t="shared" si="12"/>
        <v>2</v>
      </c>
      <c r="U44" s="80">
        <f t="shared" si="13"/>
        <v>262297380</v>
      </c>
      <c r="V44" s="87">
        <f>T44/I44*100%</f>
        <v>1</v>
      </c>
      <c r="W44" s="87">
        <f t="shared" si="2"/>
        <v>0.63206871578499313</v>
      </c>
      <c r="X44" s="80">
        <f t="shared" si="14"/>
        <v>2</v>
      </c>
      <c r="Y44" s="80">
        <f t="shared" si="0"/>
        <v>262297380</v>
      </c>
      <c r="Z44" s="88">
        <f t="shared" si="15"/>
        <v>0</v>
      </c>
      <c r="AA44" s="89">
        <f t="shared" si="15"/>
        <v>0</v>
      </c>
      <c r="AB44" s="104"/>
      <c r="AC44" s="105"/>
      <c r="AD44" s="106"/>
      <c r="AE44" s="106"/>
      <c r="AF44" s="107"/>
      <c r="AG44" s="107"/>
      <c r="AH44" s="107"/>
      <c r="AI44" s="106"/>
    </row>
    <row r="45" spans="1:35" s="108" customFormat="1" ht="91.5" customHeight="1" x14ac:dyDescent="0.25">
      <c r="A45" s="100"/>
      <c r="B45" s="101"/>
      <c r="C45" s="118" t="s">
        <v>84</v>
      </c>
      <c r="D45" s="98" t="s">
        <v>217</v>
      </c>
      <c r="E45" s="79">
        <v>0</v>
      </c>
      <c r="F45" s="80">
        <v>0</v>
      </c>
      <c r="G45" s="79">
        <v>0</v>
      </c>
      <c r="H45" s="81">
        <v>0</v>
      </c>
      <c r="I45" s="119" t="s">
        <v>218</v>
      </c>
      <c r="J45" s="83" t="s">
        <v>219</v>
      </c>
      <c r="K45" s="81">
        <v>51339300</v>
      </c>
      <c r="L45" s="120" t="s">
        <v>162</v>
      </c>
      <c r="M45" s="81">
        <v>6000000</v>
      </c>
      <c r="N45" s="84" t="s">
        <v>220</v>
      </c>
      <c r="O45" s="85">
        <v>29944700</v>
      </c>
      <c r="P45" s="86">
        <v>0</v>
      </c>
      <c r="Q45" s="86">
        <v>9000000</v>
      </c>
      <c r="R45" s="121" t="s">
        <v>221</v>
      </c>
      <c r="S45" s="86">
        <v>6000000</v>
      </c>
      <c r="T45" s="80">
        <f>N45+R45</f>
        <v>0.79999999999999993</v>
      </c>
      <c r="U45" s="80">
        <f t="shared" si="13"/>
        <v>44944700</v>
      </c>
      <c r="V45" s="87">
        <f>T45/I45*100%*0.8</f>
        <v>0.79999999999999993</v>
      </c>
      <c r="W45" s="87">
        <f t="shared" si="2"/>
        <v>0.87544434770244239</v>
      </c>
      <c r="X45" s="122">
        <f>T45</f>
        <v>0.79999999999999993</v>
      </c>
      <c r="Y45" s="80">
        <f t="shared" si="0"/>
        <v>44944700</v>
      </c>
      <c r="Z45" s="88">
        <f t="shared" si="15"/>
        <v>0</v>
      </c>
      <c r="AA45" s="89">
        <f t="shared" si="15"/>
        <v>0</v>
      </c>
      <c r="AB45" s="104"/>
      <c r="AC45" s="105"/>
      <c r="AD45" s="106"/>
      <c r="AE45" s="106"/>
      <c r="AF45" s="107"/>
      <c r="AG45" s="107"/>
      <c r="AH45" s="107"/>
      <c r="AI45" s="106"/>
    </row>
    <row r="46" spans="1:35" s="108" customFormat="1" ht="91.5" customHeight="1" x14ac:dyDescent="0.25">
      <c r="A46" s="100"/>
      <c r="B46" s="101"/>
      <c r="C46" s="118" t="s">
        <v>222</v>
      </c>
      <c r="D46" s="98" t="s">
        <v>223</v>
      </c>
      <c r="E46" s="79">
        <v>0</v>
      </c>
      <c r="F46" s="80">
        <v>0</v>
      </c>
      <c r="G46" s="79">
        <v>0</v>
      </c>
      <c r="H46" s="81">
        <v>0</v>
      </c>
      <c r="I46" s="82">
        <v>4</v>
      </c>
      <c r="J46" s="83" t="s">
        <v>224</v>
      </c>
      <c r="K46" s="81">
        <v>1416780000</v>
      </c>
      <c r="L46" s="81" t="s">
        <v>162</v>
      </c>
      <c r="M46" s="81">
        <v>8590000</v>
      </c>
      <c r="N46" s="85">
        <v>2</v>
      </c>
      <c r="O46" s="85">
        <v>360570000</v>
      </c>
      <c r="P46" s="86">
        <v>0</v>
      </c>
      <c r="Q46" s="86">
        <v>383688449</v>
      </c>
      <c r="R46" s="86">
        <v>1</v>
      </c>
      <c r="S46" s="86">
        <v>385167979</v>
      </c>
      <c r="T46" s="80">
        <f t="shared" ref="T46:U49" si="16">SUM(L46,N46,P46,R46)</f>
        <v>3</v>
      </c>
      <c r="U46" s="80">
        <f t="shared" si="13"/>
        <v>1129426428</v>
      </c>
      <c r="V46" s="87">
        <f>T46/I46*100%</f>
        <v>0.75</v>
      </c>
      <c r="W46" s="87">
        <f t="shared" si="2"/>
        <v>0.79717841019777236</v>
      </c>
      <c r="X46" s="80">
        <f t="shared" si="14"/>
        <v>3</v>
      </c>
      <c r="Y46" s="80">
        <f t="shared" si="0"/>
        <v>1129426428</v>
      </c>
      <c r="Z46" s="88">
        <f t="shared" si="15"/>
        <v>0</v>
      </c>
      <c r="AA46" s="89">
        <f t="shared" si="15"/>
        <v>0</v>
      </c>
      <c r="AB46" s="104"/>
      <c r="AC46" s="105"/>
      <c r="AD46" s="106"/>
      <c r="AE46" s="106"/>
      <c r="AF46" s="107"/>
      <c r="AG46" s="107"/>
      <c r="AH46" s="107"/>
      <c r="AI46" s="106"/>
    </row>
    <row r="47" spans="1:35" s="108" customFormat="1" ht="91.5" customHeight="1" x14ac:dyDescent="0.25">
      <c r="A47" s="100"/>
      <c r="B47" s="101"/>
      <c r="C47" s="118" t="s">
        <v>225</v>
      </c>
      <c r="D47" s="98" t="s">
        <v>226</v>
      </c>
      <c r="E47" s="79">
        <v>0</v>
      </c>
      <c r="F47" s="80">
        <v>0</v>
      </c>
      <c r="G47" s="79">
        <v>0</v>
      </c>
      <c r="H47" s="81">
        <v>0</v>
      </c>
      <c r="I47" s="82">
        <v>7</v>
      </c>
      <c r="J47" s="83" t="s">
        <v>227</v>
      </c>
      <c r="K47" s="81">
        <v>47400000</v>
      </c>
      <c r="L47" s="81" t="s">
        <v>162</v>
      </c>
      <c r="M47" s="81">
        <v>4020000</v>
      </c>
      <c r="N47" s="85">
        <v>5</v>
      </c>
      <c r="O47" s="85">
        <v>39359900</v>
      </c>
      <c r="P47" s="86">
        <v>0</v>
      </c>
      <c r="Q47" s="86">
        <v>3600000</v>
      </c>
      <c r="R47" s="86">
        <v>0</v>
      </c>
      <c r="S47" s="86">
        <v>0</v>
      </c>
      <c r="T47" s="80">
        <f t="shared" si="16"/>
        <v>5</v>
      </c>
      <c r="U47" s="80">
        <f t="shared" si="13"/>
        <v>42959900</v>
      </c>
      <c r="V47" s="87">
        <f>T47/I47*100%</f>
        <v>0.7142857142857143</v>
      </c>
      <c r="W47" s="87">
        <f t="shared" si="2"/>
        <v>0.90632700421940926</v>
      </c>
      <c r="X47" s="80">
        <f t="shared" si="14"/>
        <v>5</v>
      </c>
      <c r="Y47" s="80">
        <f t="shared" si="0"/>
        <v>42959900</v>
      </c>
      <c r="Z47" s="88">
        <f t="shared" si="15"/>
        <v>0</v>
      </c>
      <c r="AA47" s="89">
        <f t="shared" si="15"/>
        <v>0</v>
      </c>
      <c r="AB47" s="104"/>
      <c r="AC47" s="105"/>
      <c r="AD47" s="106"/>
      <c r="AE47" s="106"/>
      <c r="AF47" s="107"/>
      <c r="AG47" s="107"/>
      <c r="AH47" s="107"/>
      <c r="AI47" s="106"/>
    </row>
    <row r="48" spans="1:35" s="108" customFormat="1" ht="91.5" customHeight="1" x14ac:dyDescent="0.25">
      <c r="A48" s="100"/>
      <c r="B48" s="101"/>
      <c r="C48" s="118" t="s">
        <v>228</v>
      </c>
      <c r="D48" s="98" t="s">
        <v>229</v>
      </c>
      <c r="E48" s="79">
        <v>0</v>
      </c>
      <c r="F48" s="80">
        <v>0</v>
      </c>
      <c r="G48" s="79">
        <v>0</v>
      </c>
      <c r="H48" s="81">
        <v>0</v>
      </c>
      <c r="I48" s="82">
        <v>6</v>
      </c>
      <c r="J48" s="83" t="s">
        <v>230</v>
      </c>
      <c r="K48" s="81">
        <v>120632423</v>
      </c>
      <c r="L48" s="81"/>
      <c r="M48" s="81"/>
      <c r="N48" s="85">
        <v>3</v>
      </c>
      <c r="O48" s="85">
        <v>15025600</v>
      </c>
      <c r="P48" s="86">
        <v>0</v>
      </c>
      <c r="Q48" s="86">
        <v>21985483</v>
      </c>
      <c r="R48" s="86">
        <v>2</v>
      </c>
      <c r="S48" s="86">
        <v>83390350</v>
      </c>
      <c r="T48" s="80">
        <f t="shared" si="16"/>
        <v>5</v>
      </c>
      <c r="U48" s="80">
        <f t="shared" si="13"/>
        <v>120401433</v>
      </c>
      <c r="V48" s="87">
        <f>T48/I48*100%</f>
        <v>0.83333333333333337</v>
      </c>
      <c r="W48" s="87">
        <f t="shared" si="2"/>
        <v>0.99808517482899273</v>
      </c>
      <c r="X48" s="80">
        <f t="shared" si="14"/>
        <v>5</v>
      </c>
      <c r="Y48" s="80">
        <f t="shared" si="0"/>
        <v>120401433</v>
      </c>
      <c r="Z48" s="88">
        <f t="shared" si="15"/>
        <v>0</v>
      </c>
      <c r="AA48" s="89">
        <f t="shared" si="15"/>
        <v>0</v>
      </c>
      <c r="AB48" s="104"/>
      <c r="AC48" s="105"/>
      <c r="AD48" s="106"/>
      <c r="AE48" s="106"/>
      <c r="AF48" s="107"/>
      <c r="AG48" s="107"/>
      <c r="AH48" s="107"/>
      <c r="AI48" s="106"/>
    </row>
    <row r="49" spans="1:35" s="108" customFormat="1" ht="91.5" customHeight="1" x14ac:dyDescent="0.25">
      <c r="A49" s="100"/>
      <c r="B49" s="101"/>
      <c r="C49" s="118" t="s">
        <v>231</v>
      </c>
      <c r="D49" s="98" t="s">
        <v>232</v>
      </c>
      <c r="E49" s="79">
        <v>0</v>
      </c>
      <c r="F49" s="80">
        <v>0</v>
      </c>
      <c r="G49" s="79">
        <v>0</v>
      </c>
      <c r="H49" s="81">
        <v>0</v>
      </c>
      <c r="I49" s="82">
        <v>2</v>
      </c>
      <c r="J49" s="83" t="s">
        <v>199</v>
      </c>
      <c r="K49" s="81">
        <v>75197604</v>
      </c>
      <c r="L49" s="81"/>
      <c r="M49" s="81"/>
      <c r="N49" s="85">
        <v>1</v>
      </c>
      <c r="O49" s="85">
        <v>48642999</v>
      </c>
      <c r="P49" s="86"/>
      <c r="Q49" s="86">
        <v>26207813</v>
      </c>
      <c r="R49" s="86">
        <v>1</v>
      </c>
      <c r="S49" s="86">
        <v>0</v>
      </c>
      <c r="T49" s="80">
        <f t="shared" si="16"/>
        <v>2</v>
      </c>
      <c r="U49" s="80">
        <f t="shared" si="16"/>
        <v>74850812</v>
      </c>
      <c r="V49" s="87">
        <f>T49/I49*100%</f>
        <v>1</v>
      </c>
      <c r="W49" s="87">
        <f t="shared" si="2"/>
        <v>0.99538825731734748</v>
      </c>
      <c r="X49" s="80">
        <f t="shared" si="14"/>
        <v>2</v>
      </c>
      <c r="Y49" s="80">
        <f t="shared" si="0"/>
        <v>74850812</v>
      </c>
      <c r="Z49" s="88">
        <f t="shared" si="15"/>
        <v>0</v>
      </c>
      <c r="AA49" s="89">
        <f t="shared" si="15"/>
        <v>0</v>
      </c>
      <c r="AB49" s="104"/>
      <c r="AC49" s="105"/>
      <c r="AD49" s="106"/>
      <c r="AE49" s="106"/>
      <c r="AF49" s="107"/>
      <c r="AG49" s="107"/>
      <c r="AH49" s="107"/>
      <c r="AI49" s="106"/>
    </row>
    <row r="50" spans="1:35" s="117" customFormat="1" ht="91.5" customHeight="1" x14ac:dyDescent="0.25">
      <c r="A50" s="109"/>
      <c r="B50" s="110"/>
      <c r="C50" s="111" t="s">
        <v>233</v>
      </c>
      <c r="D50" s="112"/>
      <c r="E50" s="61"/>
      <c r="F50" s="62"/>
      <c r="G50" s="61"/>
      <c r="H50" s="62"/>
      <c r="I50" s="63"/>
      <c r="J50" s="64"/>
      <c r="K50" s="65">
        <f>0+K51+K52</f>
        <v>2370260946</v>
      </c>
      <c r="L50" s="62"/>
      <c r="M50" s="65">
        <f>0+M51+M52</f>
        <v>22340000</v>
      </c>
      <c r="N50" s="66"/>
      <c r="O50" s="65">
        <f>0+O51+O52</f>
        <v>995681400</v>
      </c>
      <c r="P50" s="66"/>
      <c r="Q50" s="65">
        <f>0+Q51+Q52</f>
        <v>585758400</v>
      </c>
      <c r="R50" s="66"/>
      <c r="S50" s="65">
        <f>0+S51+S52</f>
        <v>390850000</v>
      </c>
      <c r="T50" s="62"/>
      <c r="U50" s="65">
        <f>0+U51+U52</f>
        <v>1972289800</v>
      </c>
      <c r="V50" s="67"/>
      <c r="W50" s="67">
        <f t="shared" si="2"/>
        <v>0.83209817186094748</v>
      </c>
      <c r="X50" s="68"/>
      <c r="Y50" s="65">
        <f t="shared" si="0"/>
        <v>1972289800</v>
      </c>
      <c r="Z50" s="69"/>
      <c r="AA50" s="65">
        <f>0+AA51+AA52</f>
        <v>0</v>
      </c>
      <c r="AB50" s="70"/>
      <c r="AC50" s="114"/>
      <c r="AD50" s="115"/>
      <c r="AE50" s="115"/>
      <c r="AF50" s="116"/>
      <c r="AG50" s="116"/>
      <c r="AH50" s="116"/>
      <c r="AI50" s="115"/>
    </row>
    <row r="51" spans="1:35" s="108" customFormat="1" ht="91.5" customHeight="1" x14ac:dyDescent="0.25">
      <c r="A51" s="100"/>
      <c r="B51" s="101"/>
      <c r="C51" s="118" t="s">
        <v>234</v>
      </c>
      <c r="D51" s="98" t="s">
        <v>235</v>
      </c>
      <c r="E51" s="79">
        <v>0</v>
      </c>
      <c r="F51" s="80">
        <v>0</v>
      </c>
      <c r="G51" s="79">
        <v>0</v>
      </c>
      <c r="H51" s="81">
        <v>0</v>
      </c>
      <c r="I51" s="82">
        <v>5</v>
      </c>
      <c r="J51" s="83" t="s">
        <v>236</v>
      </c>
      <c r="K51" s="81">
        <v>9523250</v>
      </c>
      <c r="L51" s="81" t="s">
        <v>162</v>
      </c>
      <c r="M51" s="81">
        <v>900000</v>
      </c>
      <c r="N51" s="85">
        <v>2</v>
      </c>
      <c r="O51" s="85">
        <v>3840000</v>
      </c>
      <c r="P51" s="86">
        <v>0</v>
      </c>
      <c r="Q51" s="86">
        <v>3990000</v>
      </c>
      <c r="R51" s="86">
        <v>0</v>
      </c>
      <c r="S51" s="86">
        <v>0</v>
      </c>
      <c r="T51" s="80">
        <f t="shared" ref="T51:T52" si="17">SUM(L51,N51,P51,R51)</f>
        <v>2</v>
      </c>
      <c r="U51" s="80">
        <f>SUM(O51,Q51,S51)</f>
        <v>7830000</v>
      </c>
      <c r="V51" s="87">
        <f>T51/I51*100%</f>
        <v>0.4</v>
      </c>
      <c r="W51" s="87">
        <f t="shared" si="2"/>
        <v>0.82219830415036887</v>
      </c>
      <c r="X51" s="80">
        <f>T51+G51</f>
        <v>2</v>
      </c>
      <c r="Y51" s="80">
        <f t="shared" si="0"/>
        <v>7830000</v>
      </c>
      <c r="Z51" s="88">
        <f>IFERROR(X51/E51,0)</f>
        <v>0</v>
      </c>
      <c r="AA51" s="89">
        <f>IFERROR(Y51/F51,0)</f>
        <v>0</v>
      </c>
      <c r="AB51" s="104"/>
      <c r="AC51" s="105"/>
      <c r="AD51" s="106"/>
      <c r="AE51" s="106"/>
      <c r="AF51" s="107"/>
      <c r="AG51" s="107"/>
      <c r="AH51" s="107"/>
      <c r="AI51" s="106"/>
    </row>
    <row r="52" spans="1:35" s="108" customFormat="1" ht="91.5" customHeight="1" x14ac:dyDescent="0.25">
      <c r="A52" s="100"/>
      <c r="B52" s="101"/>
      <c r="C52" s="118" t="s">
        <v>237</v>
      </c>
      <c r="D52" s="98" t="s">
        <v>238</v>
      </c>
      <c r="E52" s="79">
        <v>0</v>
      </c>
      <c r="F52" s="80">
        <v>0</v>
      </c>
      <c r="G52" s="79">
        <v>0</v>
      </c>
      <c r="H52" s="81">
        <v>0</v>
      </c>
      <c r="I52" s="82">
        <v>90</v>
      </c>
      <c r="J52" s="83" t="s">
        <v>239</v>
      </c>
      <c r="K52" s="81">
        <v>2360737696</v>
      </c>
      <c r="L52" s="81" t="s">
        <v>162</v>
      </c>
      <c r="M52" s="81">
        <v>21440000</v>
      </c>
      <c r="N52" s="85">
        <v>90</v>
      </c>
      <c r="O52" s="85">
        <v>991841400</v>
      </c>
      <c r="P52" s="86">
        <v>0</v>
      </c>
      <c r="Q52" s="86">
        <v>581768400</v>
      </c>
      <c r="R52" s="86">
        <v>0</v>
      </c>
      <c r="S52" s="86">
        <v>390850000</v>
      </c>
      <c r="T52" s="80">
        <f t="shared" si="17"/>
        <v>90</v>
      </c>
      <c r="U52" s="80">
        <f>SUM(O52,Q52,S52)</f>
        <v>1964459800</v>
      </c>
      <c r="V52" s="87">
        <f>T52/I52*100%</f>
        <v>1</v>
      </c>
      <c r="W52" s="87">
        <f t="shared" si="2"/>
        <v>0.83213810807043598</v>
      </c>
      <c r="X52" s="80">
        <f>T52+G52</f>
        <v>90</v>
      </c>
      <c r="Y52" s="80">
        <f t="shared" si="0"/>
        <v>1964459800</v>
      </c>
      <c r="Z52" s="88">
        <f>IFERROR(X52/E52,0)</f>
        <v>0</v>
      </c>
      <c r="AA52" s="89">
        <f>IFERROR(Y52/F52,0)</f>
        <v>0</v>
      </c>
      <c r="AB52" s="104"/>
      <c r="AC52" s="105"/>
      <c r="AD52" s="106"/>
      <c r="AE52" s="106"/>
      <c r="AF52" s="107"/>
      <c r="AG52" s="107"/>
      <c r="AH52" s="107"/>
      <c r="AI52" s="106"/>
    </row>
    <row r="53" spans="1:35" s="117" customFormat="1" ht="91.5" customHeight="1" x14ac:dyDescent="0.25">
      <c r="A53" s="109"/>
      <c r="B53" s="110"/>
      <c r="C53" s="111" t="s">
        <v>240</v>
      </c>
      <c r="D53" s="112"/>
      <c r="E53" s="61"/>
      <c r="F53" s="62"/>
      <c r="G53" s="61"/>
      <c r="H53" s="62"/>
      <c r="I53" s="63"/>
      <c r="J53" s="64"/>
      <c r="K53" s="65">
        <f>0+K54+K55+K56+K57+K58+K59+K61+K60</f>
        <v>1140290715</v>
      </c>
      <c r="L53" s="65"/>
      <c r="M53" s="65">
        <f>0+M54+M55+M56+M57+M58+M59+M61</f>
        <v>72079500</v>
      </c>
      <c r="N53" s="66"/>
      <c r="O53" s="65">
        <f>0+O54+O55+O56+O57+O58+O59+O61</f>
        <v>394619500</v>
      </c>
      <c r="P53" s="66"/>
      <c r="Q53" s="65">
        <f>0+Q54+Q55+Q56+Q57+Q58+Q59+Q61</f>
        <v>141980400</v>
      </c>
      <c r="R53" s="66"/>
      <c r="S53" s="65">
        <f>0+S54+S55+S56+S57+S58+S59+S61+S60</f>
        <v>392958198</v>
      </c>
      <c r="T53" s="113"/>
      <c r="U53" s="65">
        <f>0+U54+U55+U56+U57+U58+U59+U61+U60</f>
        <v>929558098</v>
      </c>
      <c r="V53" s="67"/>
      <c r="W53" s="67">
        <f>U53/K53*100%</f>
        <v>0.81519395516607362</v>
      </c>
      <c r="X53" s="68"/>
      <c r="Y53" s="65">
        <f t="shared" si="0"/>
        <v>929558098</v>
      </c>
      <c r="Z53" s="69"/>
      <c r="AA53" s="65">
        <f>0+AA54+AA55+AA56+AA57+AA58+AA59+AA61</f>
        <v>0</v>
      </c>
      <c r="AB53" s="70"/>
      <c r="AC53" s="114"/>
      <c r="AD53" s="115"/>
      <c r="AE53" s="115"/>
      <c r="AF53" s="116"/>
      <c r="AG53" s="116"/>
      <c r="AH53" s="116"/>
      <c r="AI53" s="115"/>
    </row>
    <row r="54" spans="1:35" s="108" customFormat="1" ht="91.5" customHeight="1" x14ac:dyDescent="0.25">
      <c r="A54" s="100"/>
      <c r="B54" s="101"/>
      <c r="C54" s="118" t="s">
        <v>241</v>
      </c>
      <c r="D54" s="98" t="s">
        <v>242</v>
      </c>
      <c r="E54" s="79">
        <v>0</v>
      </c>
      <c r="F54" s="80">
        <v>0</v>
      </c>
      <c r="G54" s="79">
        <v>0</v>
      </c>
      <c r="H54" s="81">
        <v>0</v>
      </c>
      <c r="I54" s="82">
        <v>7</v>
      </c>
      <c r="J54" s="83" t="s">
        <v>243</v>
      </c>
      <c r="K54" s="81">
        <v>217010000</v>
      </c>
      <c r="L54" s="81" t="s">
        <v>162</v>
      </c>
      <c r="M54" s="81">
        <v>35860000</v>
      </c>
      <c r="N54" s="85">
        <v>4</v>
      </c>
      <c r="O54" s="85">
        <v>90640000</v>
      </c>
      <c r="P54" s="86">
        <v>0</v>
      </c>
      <c r="Q54" s="86">
        <v>57550000</v>
      </c>
      <c r="R54" s="86">
        <v>2</v>
      </c>
      <c r="S54" s="86">
        <v>34020000</v>
      </c>
      <c r="T54" s="80">
        <f t="shared" ref="T54:U61" si="18">SUM(L54,N54,P54,R54)</f>
        <v>6</v>
      </c>
      <c r="U54" s="80">
        <f>SUM(O54,Q54,S54)</f>
        <v>182210000</v>
      </c>
      <c r="V54" s="87">
        <f t="shared" ref="V54:V61" si="19">T54/I54*100%</f>
        <v>0.8571428571428571</v>
      </c>
      <c r="W54" s="87">
        <f t="shared" si="2"/>
        <v>0.8396387263259758</v>
      </c>
      <c r="X54" s="80">
        <f t="shared" ref="X54:X61" si="20">T54+G54</f>
        <v>6</v>
      </c>
      <c r="Y54" s="80">
        <f t="shared" si="0"/>
        <v>182210000</v>
      </c>
      <c r="Z54" s="88">
        <f t="shared" ref="Z54:AA61" si="21">IFERROR(X54/E54,0)</f>
        <v>0</v>
      </c>
      <c r="AA54" s="89">
        <f t="shared" si="21"/>
        <v>0</v>
      </c>
      <c r="AB54" s="104"/>
      <c r="AC54" s="105"/>
      <c r="AD54" s="106"/>
      <c r="AE54" s="106"/>
      <c r="AF54" s="107"/>
      <c r="AG54" s="107"/>
      <c r="AH54" s="107"/>
      <c r="AI54" s="106"/>
    </row>
    <row r="55" spans="1:35" s="108" customFormat="1" ht="91.5" customHeight="1" x14ac:dyDescent="0.25">
      <c r="A55" s="100"/>
      <c r="B55" s="101"/>
      <c r="C55" s="118" t="s">
        <v>244</v>
      </c>
      <c r="D55" s="98" t="s">
        <v>245</v>
      </c>
      <c r="E55" s="79">
        <v>0</v>
      </c>
      <c r="F55" s="80">
        <v>0</v>
      </c>
      <c r="G55" s="79">
        <v>0</v>
      </c>
      <c r="H55" s="81">
        <v>0</v>
      </c>
      <c r="I55" s="82">
        <v>1</v>
      </c>
      <c r="J55" s="83" t="s">
        <v>160</v>
      </c>
      <c r="K55" s="81">
        <v>224000000</v>
      </c>
      <c r="L55" s="81"/>
      <c r="M55" s="81"/>
      <c r="N55" s="85"/>
      <c r="O55" s="85"/>
      <c r="P55" s="86">
        <v>0</v>
      </c>
      <c r="Q55" s="86">
        <v>0</v>
      </c>
      <c r="R55" s="86">
        <v>1</v>
      </c>
      <c r="S55" s="86">
        <v>223660800</v>
      </c>
      <c r="T55" s="80">
        <f t="shared" si="18"/>
        <v>1</v>
      </c>
      <c r="U55" s="80">
        <f t="shared" si="18"/>
        <v>223660800</v>
      </c>
      <c r="V55" s="87">
        <f t="shared" si="19"/>
        <v>1</v>
      </c>
      <c r="W55" s="87">
        <f t="shared" si="2"/>
        <v>0.99848571428571431</v>
      </c>
      <c r="X55" s="80">
        <f t="shared" si="20"/>
        <v>1</v>
      </c>
      <c r="Y55" s="80">
        <f t="shared" si="0"/>
        <v>223660800</v>
      </c>
      <c r="Z55" s="88">
        <f t="shared" si="21"/>
        <v>0</v>
      </c>
      <c r="AA55" s="89">
        <f t="shared" si="21"/>
        <v>0</v>
      </c>
      <c r="AB55" s="104"/>
      <c r="AC55" s="105"/>
      <c r="AD55" s="106"/>
      <c r="AE55" s="106"/>
      <c r="AF55" s="107"/>
      <c r="AG55" s="107"/>
      <c r="AH55" s="107"/>
      <c r="AI55" s="106"/>
    </row>
    <row r="56" spans="1:35" s="108" customFormat="1" ht="91.5" customHeight="1" x14ac:dyDescent="0.25">
      <c r="A56" s="100"/>
      <c r="B56" s="101"/>
      <c r="C56" s="118" t="s">
        <v>246</v>
      </c>
      <c r="D56" s="98" t="s">
        <v>247</v>
      </c>
      <c r="E56" s="79">
        <v>0</v>
      </c>
      <c r="F56" s="80">
        <v>0</v>
      </c>
      <c r="G56" s="79">
        <v>0</v>
      </c>
      <c r="H56" s="81">
        <v>0</v>
      </c>
      <c r="I56" s="82">
        <v>1</v>
      </c>
      <c r="J56" s="83" t="s">
        <v>248</v>
      </c>
      <c r="K56" s="81">
        <v>380705404</v>
      </c>
      <c r="L56" s="123" t="s">
        <v>162</v>
      </c>
      <c r="M56" s="81">
        <v>30219500</v>
      </c>
      <c r="N56" s="85">
        <v>1</v>
      </c>
      <c r="O56" s="85">
        <v>284719500</v>
      </c>
      <c r="P56" s="85">
        <v>0</v>
      </c>
      <c r="Q56" s="85">
        <v>56283800</v>
      </c>
      <c r="R56" s="86">
        <v>0</v>
      </c>
      <c r="S56" s="86">
        <v>35793700</v>
      </c>
      <c r="T56" s="80">
        <f t="shared" si="18"/>
        <v>1</v>
      </c>
      <c r="U56" s="80">
        <f>SUM(O56,Q56,S56)</f>
        <v>376797000</v>
      </c>
      <c r="V56" s="87">
        <f t="shared" si="19"/>
        <v>1</v>
      </c>
      <c r="W56" s="87">
        <f t="shared" si="2"/>
        <v>0.98973378376315346</v>
      </c>
      <c r="X56" s="80">
        <f t="shared" si="20"/>
        <v>1</v>
      </c>
      <c r="Y56" s="80">
        <f t="shared" si="0"/>
        <v>376797000</v>
      </c>
      <c r="Z56" s="88">
        <f t="shared" si="21"/>
        <v>0</v>
      </c>
      <c r="AA56" s="89">
        <f t="shared" si="21"/>
        <v>0</v>
      </c>
      <c r="AB56" s="104"/>
      <c r="AC56" s="105"/>
      <c r="AD56" s="106"/>
      <c r="AE56" s="106"/>
      <c r="AF56" s="107"/>
      <c r="AG56" s="107"/>
      <c r="AH56" s="107"/>
      <c r="AI56" s="106"/>
    </row>
    <row r="57" spans="1:35" s="108" customFormat="1" ht="91.5" customHeight="1" x14ac:dyDescent="0.25">
      <c r="A57" s="100"/>
      <c r="B57" s="101"/>
      <c r="C57" s="118" t="s">
        <v>249</v>
      </c>
      <c r="D57" s="98" t="s">
        <v>250</v>
      </c>
      <c r="E57" s="79">
        <v>0</v>
      </c>
      <c r="F57" s="80">
        <v>0</v>
      </c>
      <c r="G57" s="79">
        <v>0</v>
      </c>
      <c r="H57" s="81">
        <v>0</v>
      </c>
      <c r="I57" s="82">
        <v>1</v>
      </c>
      <c r="J57" s="83" t="s">
        <v>251</v>
      </c>
      <c r="K57" s="81">
        <v>36000000</v>
      </c>
      <c r="L57" s="123" t="s">
        <v>162</v>
      </c>
      <c r="M57" s="81">
        <v>6000000</v>
      </c>
      <c r="N57" s="85">
        <v>1</v>
      </c>
      <c r="O57" s="85">
        <v>18000000</v>
      </c>
      <c r="P57" s="85">
        <v>0</v>
      </c>
      <c r="Q57" s="85">
        <v>6000000</v>
      </c>
      <c r="R57" s="86">
        <v>0</v>
      </c>
      <c r="S57" s="86">
        <v>3000000</v>
      </c>
      <c r="T57" s="80">
        <f t="shared" si="18"/>
        <v>1</v>
      </c>
      <c r="U57" s="80">
        <f>SUM(O57,Q57,S57)</f>
        <v>27000000</v>
      </c>
      <c r="V57" s="87">
        <f t="shared" si="19"/>
        <v>1</v>
      </c>
      <c r="W57" s="87">
        <f t="shared" si="2"/>
        <v>0.75</v>
      </c>
      <c r="X57" s="80">
        <f t="shared" si="20"/>
        <v>1</v>
      </c>
      <c r="Y57" s="80">
        <f t="shared" si="0"/>
        <v>27000000</v>
      </c>
      <c r="Z57" s="88">
        <f t="shared" si="21"/>
        <v>0</v>
      </c>
      <c r="AA57" s="89">
        <f t="shared" si="21"/>
        <v>0</v>
      </c>
      <c r="AB57" s="104"/>
      <c r="AC57" s="105"/>
      <c r="AD57" s="106"/>
      <c r="AE57" s="106"/>
      <c r="AF57" s="107"/>
      <c r="AG57" s="107"/>
      <c r="AH57" s="107"/>
      <c r="AI57" s="106"/>
    </row>
    <row r="58" spans="1:35" s="108" customFormat="1" ht="91.5" customHeight="1" x14ac:dyDescent="0.25">
      <c r="A58" s="100"/>
      <c r="B58" s="101"/>
      <c r="C58" s="118" t="s">
        <v>252</v>
      </c>
      <c r="D58" s="98" t="s">
        <v>253</v>
      </c>
      <c r="E58" s="79">
        <v>0</v>
      </c>
      <c r="F58" s="80">
        <v>0</v>
      </c>
      <c r="G58" s="79">
        <v>0</v>
      </c>
      <c r="H58" s="81">
        <v>0</v>
      </c>
      <c r="I58" s="82">
        <v>12</v>
      </c>
      <c r="J58" s="83" t="s">
        <v>174</v>
      </c>
      <c r="K58" s="81">
        <v>16624910</v>
      </c>
      <c r="L58" s="81"/>
      <c r="M58" s="81"/>
      <c r="N58" s="85">
        <v>0</v>
      </c>
      <c r="O58" s="85">
        <v>0</v>
      </c>
      <c r="P58" s="85">
        <v>7</v>
      </c>
      <c r="Q58" s="85">
        <v>8316600</v>
      </c>
      <c r="R58" s="86">
        <v>4</v>
      </c>
      <c r="S58" s="86">
        <v>2748000</v>
      </c>
      <c r="T58" s="80">
        <f t="shared" si="18"/>
        <v>11</v>
      </c>
      <c r="U58" s="80">
        <f t="shared" si="18"/>
        <v>11064600</v>
      </c>
      <c r="V58" s="87">
        <f t="shared" si="19"/>
        <v>0.91666666666666663</v>
      </c>
      <c r="W58" s="87">
        <f t="shared" si="2"/>
        <v>0.66554345256605896</v>
      </c>
      <c r="X58" s="80">
        <f t="shared" si="20"/>
        <v>11</v>
      </c>
      <c r="Y58" s="80">
        <f t="shared" si="0"/>
        <v>11064600</v>
      </c>
      <c r="Z58" s="88">
        <f t="shared" si="21"/>
        <v>0</v>
      </c>
      <c r="AA58" s="89">
        <f t="shared" si="21"/>
        <v>0</v>
      </c>
      <c r="AB58" s="104"/>
      <c r="AC58" s="105"/>
      <c r="AD58" s="106"/>
      <c r="AE58" s="106"/>
      <c r="AF58" s="107"/>
      <c r="AG58" s="107"/>
      <c r="AH58" s="107"/>
      <c r="AI58" s="106"/>
    </row>
    <row r="59" spans="1:35" s="108" customFormat="1" ht="91.5" customHeight="1" x14ac:dyDescent="0.25">
      <c r="A59" s="100"/>
      <c r="B59" s="101"/>
      <c r="C59" s="118" t="s">
        <v>254</v>
      </c>
      <c r="D59" s="98" t="s">
        <v>255</v>
      </c>
      <c r="E59" s="79">
        <v>0</v>
      </c>
      <c r="F59" s="80">
        <v>0</v>
      </c>
      <c r="G59" s="79">
        <v>0</v>
      </c>
      <c r="H59" s="81">
        <v>0</v>
      </c>
      <c r="I59" s="82">
        <v>2.83</v>
      </c>
      <c r="J59" s="83" t="s">
        <v>256</v>
      </c>
      <c r="K59" s="81">
        <v>16011000</v>
      </c>
      <c r="L59" s="81"/>
      <c r="M59" s="81"/>
      <c r="N59" s="85">
        <v>1</v>
      </c>
      <c r="O59" s="85">
        <v>1260000</v>
      </c>
      <c r="P59" s="85">
        <v>0</v>
      </c>
      <c r="Q59" s="85">
        <v>10080000</v>
      </c>
      <c r="R59" s="124">
        <v>1.83</v>
      </c>
      <c r="S59" s="86">
        <v>1200000</v>
      </c>
      <c r="T59" s="122">
        <f>SUM(L59,N59,P59,R59)</f>
        <v>2.83</v>
      </c>
      <c r="U59" s="80">
        <f>SUM(O59,Q59,S59)</f>
        <v>12540000</v>
      </c>
      <c r="V59" s="87">
        <f t="shared" si="19"/>
        <v>1</v>
      </c>
      <c r="W59" s="87">
        <f t="shared" si="2"/>
        <v>0.78321154206483046</v>
      </c>
      <c r="X59" s="122">
        <f t="shared" si="20"/>
        <v>2.83</v>
      </c>
      <c r="Y59" s="80">
        <f t="shared" si="0"/>
        <v>12540000</v>
      </c>
      <c r="Z59" s="88">
        <f t="shared" si="21"/>
        <v>0</v>
      </c>
      <c r="AA59" s="89">
        <f t="shared" si="21"/>
        <v>0</v>
      </c>
      <c r="AB59" s="104"/>
      <c r="AC59" s="105"/>
      <c r="AD59" s="106"/>
      <c r="AE59" s="106"/>
      <c r="AF59" s="107"/>
      <c r="AG59" s="107"/>
      <c r="AH59" s="107"/>
      <c r="AI59" s="106"/>
    </row>
    <row r="60" spans="1:35" s="108" customFormat="1" ht="91.5" customHeight="1" x14ac:dyDescent="0.25">
      <c r="A60" s="100"/>
      <c r="B60" s="101"/>
      <c r="C60" s="118" t="s">
        <v>257</v>
      </c>
      <c r="D60" s="98" t="s">
        <v>258</v>
      </c>
      <c r="E60" s="79">
        <v>0</v>
      </c>
      <c r="F60" s="80">
        <v>0</v>
      </c>
      <c r="G60" s="79">
        <v>0</v>
      </c>
      <c r="H60" s="81">
        <v>0</v>
      </c>
      <c r="I60" s="125">
        <v>1</v>
      </c>
      <c r="J60" s="83" t="s">
        <v>160</v>
      </c>
      <c r="K60" s="81">
        <v>239159401</v>
      </c>
      <c r="L60" s="81">
        <v>0</v>
      </c>
      <c r="M60" s="81">
        <v>0</v>
      </c>
      <c r="N60" s="85">
        <v>0</v>
      </c>
      <c r="O60" s="85">
        <v>0</v>
      </c>
      <c r="P60" s="85">
        <v>0</v>
      </c>
      <c r="Q60" s="85">
        <v>0</v>
      </c>
      <c r="R60" s="86">
        <v>1</v>
      </c>
      <c r="S60" s="86">
        <v>91185698</v>
      </c>
      <c r="T60" s="80">
        <f>R60</f>
        <v>1</v>
      </c>
      <c r="U60" s="80">
        <f>SUM(O60,Q60,S60)</f>
        <v>91185698</v>
      </c>
      <c r="V60" s="87">
        <f t="shared" si="19"/>
        <v>1</v>
      </c>
      <c r="W60" s="87">
        <f t="shared" si="2"/>
        <v>0.38127582532287746</v>
      </c>
      <c r="X60" s="80">
        <f>T60+G60</f>
        <v>1</v>
      </c>
      <c r="Y60" s="80">
        <f t="shared" si="0"/>
        <v>91185698</v>
      </c>
      <c r="Z60" s="88">
        <v>0</v>
      </c>
      <c r="AA60" s="89">
        <v>0</v>
      </c>
      <c r="AB60" s="104"/>
      <c r="AC60" s="105"/>
      <c r="AD60" s="106"/>
      <c r="AE60" s="106"/>
      <c r="AF60" s="107"/>
      <c r="AG60" s="107"/>
      <c r="AH60" s="107"/>
      <c r="AI60" s="106"/>
    </row>
    <row r="61" spans="1:35" s="108" customFormat="1" ht="91.5" customHeight="1" x14ac:dyDescent="0.25">
      <c r="A61" s="100"/>
      <c r="B61" s="101"/>
      <c r="C61" s="118" t="s">
        <v>259</v>
      </c>
      <c r="D61" s="98" t="s">
        <v>260</v>
      </c>
      <c r="E61" s="79">
        <v>0</v>
      </c>
      <c r="F61" s="80">
        <v>0</v>
      </c>
      <c r="G61" s="79">
        <v>0</v>
      </c>
      <c r="H61" s="81">
        <v>0</v>
      </c>
      <c r="I61" s="82">
        <v>16</v>
      </c>
      <c r="J61" s="83" t="s">
        <v>219</v>
      </c>
      <c r="K61" s="81">
        <v>10780000</v>
      </c>
      <c r="L61" s="81"/>
      <c r="M61" s="81"/>
      <c r="N61" s="85"/>
      <c r="O61" s="85"/>
      <c r="P61" s="85">
        <v>0</v>
      </c>
      <c r="Q61" s="85">
        <v>3750000</v>
      </c>
      <c r="R61" s="86">
        <v>1</v>
      </c>
      <c r="S61" s="86">
        <v>1350000</v>
      </c>
      <c r="T61" s="80">
        <f>10+R61</f>
        <v>11</v>
      </c>
      <c r="U61" s="80">
        <f t="shared" si="18"/>
        <v>5100000</v>
      </c>
      <c r="V61" s="87">
        <f t="shared" si="19"/>
        <v>0.6875</v>
      </c>
      <c r="W61" s="87">
        <f t="shared" si="2"/>
        <v>0.47309833024118736</v>
      </c>
      <c r="X61" s="80">
        <f t="shared" si="20"/>
        <v>11</v>
      </c>
      <c r="Y61" s="80">
        <f t="shared" si="0"/>
        <v>5100000</v>
      </c>
      <c r="Z61" s="88">
        <f t="shared" si="21"/>
        <v>0</v>
      </c>
      <c r="AA61" s="89">
        <f t="shared" si="21"/>
        <v>0</v>
      </c>
      <c r="AB61" s="104"/>
      <c r="AC61" s="105"/>
      <c r="AD61" s="106"/>
      <c r="AE61" s="106"/>
      <c r="AF61" s="107"/>
      <c r="AG61" s="107"/>
      <c r="AH61" s="107"/>
      <c r="AI61" s="106"/>
    </row>
    <row r="62" spans="1:35" s="117" customFormat="1" ht="91.5" customHeight="1" x14ac:dyDescent="0.25">
      <c r="A62" s="109"/>
      <c r="B62" s="110"/>
      <c r="C62" s="111" t="s">
        <v>261</v>
      </c>
      <c r="D62" s="112"/>
      <c r="E62" s="61"/>
      <c r="F62" s="62"/>
      <c r="G62" s="61"/>
      <c r="H62" s="62"/>
      <c r="I62" s="63"/>
      <c r="J62" s="64"/>
      <c r="K62" s="65">
        <f>K63+K64</f>
        <v>132478000</v>
      </c>
      <c r="L62" s="62"/>
      <c r="M62" s="65">
        <f>M63+M64</f>
        <v>13090000</v>
      </c>
      <c r="N62" s="66"/>
      <c r="O62" s="65">
        <f>O63+O64</f>
        <v>59535000</v>
      </c>
      <c r="P62" s="85"/>
      <c r="Q62" s="103">
        <f>Q63+Q64</f>
        <v>28691000</v>
      </c>
      <c r="R62" s="66"/>
      <c r="S62" s="65">
        <f>S63+S64</f>
        <v>12820000</v>
      </c>
      <c r="T62" s="113"/>
      <c r="U62" s="65">
        <f>U63+U64</f>
        <v>101046000</v>
      </c>
      <c r="V62" s="67"/>
      <c r="W62" s="67">
        <f t="shared" si="2"/>
        <v>0.76273796403931216</v>
      </c>
      <c r="X62" s="68"/>
      <c r="Y62" s="65">
        <f t="shared" si="0"/>
        <v>101046000</v>
      </c>
      <c r="Z62" s="69"/>
      <c r="AA62" s="65">
        <f>AA63+AA64</f>
        <v>0</v>
      </c>
      <c r="AB62" s="70"/>
      <c r="AC62" s="114"/>
      <c r="AD62" s="115"/>
      <c r="AE62" s="115"/>
      <c r="AF62" s="116"/>
      <c r="AG62" s="116"/>
      <c r="AH62" s="116"/>
      <c r="AI62" s="115"/>
    </row>
    <row r="63" spans="1:35" s="108" customFormat="1" ht="91.5" customHeight="1" x14ac:dyDescent="0.25">
      <c r="A63" s="100"/>
      <c r="B63" s="101"/>
      <c r="C63" s="118" t="s">
        <v>262</v>
      </c>
      <c r="D63" s="98" t="s">
        <v>263</v>
      </c>
      <c r="E63" s="79">
        <v>0</v>
      </c>
      <c r="F63" s="80">
        <v>0</v>
      </c>
      <c r="G63" s="79">
        <v>0</v>
      </c>
      <c r="H63" s="81">
        <v>0</v>
      </c>
      <c r="I63" s="82">
        <v>1000</v>
      </c>
      <c r="J63" s="83" t="s">
        <v>264</v>
      </c>
      <c r="K63" s="81">
        <v>77230000</v>
      </c>
      <c r="L63" s="81" t="s">
        <v>162</v>
      </c>
      <c r="M63" s="81">
        <v>9640000</v>
      </c>
      <c r="N63" s="85">
        <v>740</v>
      </c>
      <c r="O63" s="85">
        <v>45155000</v>
      </c>
      <c r="P63" s="85">
        <v>60</v>
      </c>
      <c r="Q63" s="85">
        <v>12030000</v>
      </c>
      <c r="R63" s="86">
        <v>100</v>
      </c>
      <c r="S63" s="86">
        <v>8020000</v>
      </c>
      <c r="T63" s="80">
        <f>N63+P63+R63</f>
        <v>900</v>
      </c>
      <c r="U63" s="80">
        <f>SUM(O63,Q63,S63)</f>
        <v>65205000</v>
      </c>
      <c r="V63" s="87">
        <f>T63/I63*100%</f>
        <v>0.9</v>
      </c>
      <c r="W63" s="87">
        <f t="shared" si="2"/>
        <v>0.84429625793085583</v>
      </c>
      <c r="X63" s="80">
        <f>T63+G63</f>
        <v>900</v>
      </c>
      <c r="Y63" s="80">
        <f t="shared" si="0"/>
        <v>65205000</v>
      </c>
      <c r="Z63" s="88">
        <f>IFERROR(X63/E63,0)</f>
        <v>0</v>
      </c>
      <c r="AA63" s="89">
        <f>IFERROR(Y63/F63,0)</f>
        <v>0</v>
      </c>
      <c r="AB63" s="104"/>
      <c r="AC63" s="105"/>
      <c r="AD63" s="106"/>
      <c r="AE63" s="106"/>
      <c r="AF63" s="107"/>
      <c r="AG63" s="107"/>
      <c r="AH63" s="107"/>
      <c r="AI63" s="106"/>
    </row>
    <row r="64" spans="1:35" s="108" customFormat="1" ht="91.5" customHeight="1" x14ac:dyDescent="0.25">
      <c r="A64" s="100"/>
      <c r="B64" s="101"/>
      <c r="C64" s="118" t="s">
        <v>265</v>
      </c>
      <c r="D64" s="98" t="s">
        <v>266</v>
      </c>
      <c r="E64" s="79">
        <v>0</v>
      </c>
      <c r="F64" s="80">
        <v>0</v>
      </c>
      <c r="G64" s="79">
        <v>0</v>
      </c>
      <c r="H64" s="81">
        <v>0</v>
      </c>
      <c r="I64" s="82">
        <v>1</v>
      </c>
      <c r="J64" s="83" t="s">
        <v>267</v>
      </c>
      <c r="K64" s="81">
        <v>55248000</v>
      </c>
      <c r="L64" s="123" t="s">
        <v>162</v>
      </c>
      <c r="M64" s="81">
        <v>3450000</v>
      </c>
      <c r="N64" s="85">
        <v>1</v>
      </c>
      <c r="O64" s="85">
        <v>14380000</v>
      </c>
      <c r="P64" s="85">
        <v>0</v>
      </c>
      <c r="Q64" s="85">
        <v>16661000</v>
      </c>
      <c r="R64" s="86">
        <v>0</v>
      </c>
      <c r="S64" s="86">
        <v>4800000</v>
      </c>
      <c r="T64" s="80">
        <f t="shared" ref="T64" si="22">SUM(L64,N64,P64,R64)</f>
        <v>1</v>
      </c>
      <c r="U64" s="80">
        <f>SUM(O64,Q64,S64)</f>
        <v>35841000</v>
      </c>
      <c r="V64" s="87">
        <f>T64/I64*100%</f>
        <v>1</v>
      </c>
      <c r="W64" s="87">
        <f t="shared" si="2"/>
        <v>0.64872936576889662</v>
      </c>
      <c r="X64" s="80">
        <f>T64+G64</f>
        <v>1</v>
      </c>
      <c r="Y64" s="80">
        <f t="shared" si="0"/>
        <v>35841000</v>
      </c>
      <c r="Z64" s="88">
        <f>IFERROR(X64/E64,0)</f>
        <v>0</v>
      </c>
      <c r="AA64" s="89">
        <f>IFERROR(Y64/F64,0)</f>
        <v>0</v>
      </c>
      <c r="AB64" s="104"/>
      <c r="AC64" s="105"/>
      <c r="AD64" s="106"/>
      <c r="AE64" s="106"/>
      <c r="AF64" s="107"/>
      <c r="AG64" s="107"/>
      <c r="AH64" s="107"/>
      <c r="AI64" s="106"/>
    </row>
    <row r="65" spans="1:35" s="117" customFormat="1" ht="91.5" customHeight="1" x14ac:dyDescent="0.25">
      <c r="A65" s="109"/>
      <c r="B65" s="110"/>
      <c r="C65" s="111" t="s">
        <v>268</v>
      </c>
      <c r="D65" s="112"/>
      <c r="E65" s="61"/>
      <c r="F65" s="62"/>
      <c r="G65" s="61"/>
      <c r="H65" s="62"/>
      <c r="I65" s="63"/>
      <c r="J65" s="64"/>
      <c r="K65" s="65">
        <f>K66+K67</f>
        <v>139099368</v>
      </c>
      <c r="L65" s="62"/>
      <c r="M65" s="65">
        <f>M66+M67</f>
        <v>6000000</v>
      </c>
      <c r="N65" s="66"/>
      <c r="O65" s="65">
        <f>O66+O67</f>
        <v>87404000</v>
      </c>
      <c r="P65" s="85"/>
      <c r="Q65" s="103">
        <f>Q66+Q67</f>
        <v>21217110</v>
      </c>
      <c r="R65" s="66"/>
      <c r="S65" s="65">
        <f>S66+S67</f>
        <v>12890900</v>
      </c>
      <c r="T65" s="113"/>
      <c r="U65" s="65">
        <f>U66+U67</f>
        <v>121512010</v>
      </c>
      <c r="V65" s="67"/>
      <c r="W65" s="67">
        <f t="shared" si="2"/>
        <v>0.87356263185897443</v>
      </c>
      <c r="X65" s="68"/>
      <c r="Y65" s="65">
        <f t="shared" si="0"/>
        <v>121512010</v>
      </c>
      <c r="Z65" s="69"/>
      <c r="AA65" s="65">
        <f>AA66+AA67</f>
        <v>0</v>
      </c>
      <c r="AB65" s="70"/>
      <c r="AC65" s="114"/>
      <c r="AD65" s="115"/>
      <c r="AE65" s="115"/>
      <c r="AF65" s="116"/>
      <c r="AG65" s="116"/>
      <c r="AH65" s="116"/>
      <c r="AI65" s="115"/>
    </row>
    <row r="66" spans="1:35" s="108" customFormat="1" ht="91.5" customHeight="1" x14ac:dyDescent="0.25">
      <c r="A66" s="100"/>
      <c r="B66" s="101"/>
      <c r="C66" s="118" t="s">
        <v>269</v>
      </c>
      <c r="D66" s="98" t="s">
        <v>270</v>
      </c>
      <c r="E66" s="79">
        <v>0</v>
      </c>
      <c r="F66" s="80">
        <v>0</v>
      </c>
      <c r="G66" s="79">
        <v>0</v>
      </c>
      <c r="H66" s="81">
        <v>0</v>
      </c>
      <c r="I66" s="82">
        <v>10</v>
      </c>
      <c r="J66" s="83" t="s">
        <v>271</v>
      </c>
      <c r="K66" s="81">
        <v>31215000</v>
      </c>
      <c r="L66" s="123">
        <v>0</v>
      </c>
      <c r="M66" s="81">
        <v>0</v>
      </c>
      <c r="N66" s="85">
        <v>1</v>
      </c>
      <c r="O66" s="85">
        <v>4187000</v>
      </c>
      <c r="P66" s="85">
        <v>4</v>
      </c>
      <c r="Q66" s="85">
        <v>12217110</v>
      </c>
      <c r="R66" s="86">
        <v>4</v>
      </c>
      <c r="S66" s="86">
        <v>5990900</v>
      </c>
      <c r="T66" s="80">
        <f>N66+P66+R66</f>
        <v>9</v>
      </c>
      <c r="U66" s="80">
        <f>SUM(O66,Q66,S66)</f>
        <v>22395010</v>
      </c>
      <c r="V66" s="87">
        <f>T66/I66*100%</f>
        <v>0.9</v>
      </c>
      <c r="W66" s="87">
        <f t="shared" si="2"/>
        <v>0.71744385711997438</v>
      </c>
      <c r="X66" s="80">
        <f>T66+G66</f>
        <v>9</v>
      </c>
      <c r="Y66" s="80">
        <f t="shared" si="0"/>
        <v>22395010</v>
      </c>
      <c r="Z66" s="88">
        <f>IFERROR(X66/E66,0)</f>
        <v>0</v>
      </c>
      <c r="AA66" s="89">
        <f>IFERROR(Y66/F66,0)</f>
        <v>0</v>
      </c>
      <c r="AB66" s="104"/>
      <c r="AC66" s="105"/>
      <c r="AD66" s="106"/>
      <c r="AE66" s="106"/>
      <c r="AF66" s="107"/>
      <c r="AG66" s="107"/>
      <c r="AH66" s="107"/>
      <c r="AI66" s="106"/>
    </row>
    <row r="67" spans="1:35" s="108" customFormat="1" ht="91.5" customHeight="1" x14ac:dyDescent="0.25">
      <c r="A67" s="100"/>
      <c r="B67" s="101"/>
      <c r="C67" s="118" t="s">
        <v>272</v>
      </c>
      <c r="D67" s="98" t="s">
        <v>273</v>
      </c>
      <c r="E67" s="79">
        <v>0</v>
      </c>
      <c r="F67" s="80">
        <v>0</v>
      </c>
      <c r="G67" s="79">
        <v>0</v>
      </c>
      <c r="H67" s="81">
        <v>0</v>
      </c>
      <c r="I67" s="82">
        <v>75</v>
      </c>
      <c r="J67" s="83" t="s">
        <v>219</v>
      </c>
      <c r="K67" s="81">
        <v>107884368</v>
      </c>
      <c r="L67" s="126" t="s">
        <v>162</v>
      </c>
      <c r="M67" s="81">
        <v>6000000</v>
      </c>
      <c r="N67" s="84" t="s">
        <v>274</v>
      </c>
      <c r="O67" s="85">
        <v>83217000</v>
      </c>
      <c r="P67" s="84" t="s">
        <v>221</v>
      </c>
      <c r="Q67" s="85">
        <v>9000000</v>
      </c>
      <c r="R67" s="121" t="s">
        <v>275</v>
      </c>
      <c r="S67" s="86">
        <v>6900000</v>
      </c>
      <c r="T67" s="127">
        <f>N67+P67+R67</f>
        <v>0.75</v>
      </c>
      <c r="U67" s="80">
        <f>SUM(O67,Q67,S67)</f>
        <v>99117000</v>
      </c>
      <c r="V67" s="87">
        <f>T67/I67*10000%</f>
        <v>1</v>
      </c>
      <c r="W67" s="87">
        <f t="shared" si="2"/>
        <v>0.91873365750263281</v>
      </c>
      <c r="X67" s="122">
        <f>T67+G67</f>
        <v>0.75</v>
      </c>
      <c r="Y67" s="80">
        <f t="shared" si="0"/>
        <v>99117000</v>
      </c>
      <c r="Z67" s="88">
        <f>IFERROR(X67/E67,0)</f>
        <v>0</v>
      </c>
      <c r="AA67" s="89">
        <f>IFERROR(Y67/F67,0)</f>
        <v>0</v>
      </c>
      <c r="AB67" s="104"/>
      <c r="AC67" s="105"/>
      <c r="AD67" s="106"/>
      <c r="AE67" s="106"/>
      <c r="AF67" s="107"/>
      <c r="AG67" s="107"/>
      <c r="AH67" s="107"/>
      <c r="AI67" s="106"/>
    </row>
    <row r="68" spans="1:35" ht="63.75" customHeight="1" x14ac:dyDescent="0.25">
      <c r="A68" s="75"/>
      <c r="B68" s="76"/>
      <c r="C68" s="77"/>
      <c r="D68" s="77"/>
      <c r="E68" s="79"/>
      <c r="F68" s="80"/>
      <c r="G68" s="79"/>
      <c r="H68" s="81"/>
      <c r="I68" s="293"/>
      <c r="J68" s="294"/>
      <c r="K68" s="80"/>
      <c r="L68" s="85"/>
      <c r="M68" s="85"/>
      <c r="N68" s="85"/>
      <c r="O68" s="85"/>
      <c r="P68" s="85"/>
      <c r="Q68" s="85"/>
      <c r="R68" s="86"/>
      <c r="S68" s="86"/>
      <c r="T68" s="80"/>
      <c r="U68" s="80" t="s">
        <v>276</v>
      </c>
      <c r="V68" s="87"/>
      <c r="W68" s="87"/>
      <c r="X68" s="79"/>
      <c r="Y68" s="80"/>
      <c r="Z68" s="88"/>
      <c r="AA68" s="89"/>
      <c r="AB68" s="90"/>
      <c r="AC68" s="38"/>
    </row>
    <row r="69" spans="1:35" ht="30" customHeight="1" x14ac:dyDescent="0.25">
      <c r="A69" s="75"/>
      <c r="B69" s="76"/>
      <c r="C69" s="77"/>
      <c r="D69" s="77"/>
      <c r="E69" s="79"/>
      <c r="F69" s="80"/>
      <c r="G69" s="79"/>
      <c r="H69" s="80"/>
      <c r="I69" s="293"/>
      <c r="J69" s="294"/>
      <c r="K69" s="80"/>
      <c r="L69" s="301" t="s">
        <v>277</v>
      </c>
      <c r="M69" s="301"/>
      <c r="N69" s="301"/>
      <c r="O69" s="301"/>
      <c r="P69" s="301"/>
      <c r="Q69" s="301"/>
      <c r="R69" s="301"/>
      <c r="S69" s="301"/>
      <c r="T69" s="301"/>
      <c r="U69" s="301"/>
      <c r="V69" s="128">
        <f>SUMPRODUCT(V9:V67,K9:K67)/K71</f>
        <v>0.87452027136029453</v>
      </c>
      <c r="W69" s="128">
        <f>IFERROR(U71/K71,0)</f>
        <v>0.83333830456105495</v>
      </c>
      <c r="X69" s="79"/>
      <c r="Y69" s="80"/>
      <c r="Z69" s="88"/>
      <c r="AA69" s="89"/>
      <c r="AB69" s="90"/>
      <c r="AC69" s="38"/>
    </row>
    <row r="70" spans="1:35" ht="30" customHeight="1" x14ac:dyDescent="0.25">
      <c r="A70" s="75"/>
      <c r="B70" s="76"/>
      <c r="C70" s="77"/>
      <c r="D70" s="77"/>
      <c r="E70" s="79"/>
      <c r="F70" s="80"/>
      <c r="G70" s="79"/>
      <c r="H70" s="80"/>
      <c r="I70" s="293"/>
      <c r="J70" s="294"/>
      <c r="K70" s="80"/>
      <c r="L70" s="301" t="s">
        <v>278</v>
      </c>
      <c r="M70" s="301"/>
      <c r="N70" s="301"/>
      <c r="O70" s="301"/>
      <c r="P70" s="301"/>
      <c r="Q70" s="301"/>
      <c r="R70" s="301"/>
      <c r="S70" s="301"/>
      <c r="T70" s="301"/>
      <c r="U70" s="301"/>
      <c r="V70" s="128" t="str">
        <f>IF(V69&gt;0.9,"Sangat Tinggi",IF(V69&gt;0.75,"Tinggi",IF(V69&gt;0.65,"Sedang",IF(V69&gt;0.5,"Rendah","Sangat Rendah"))))</f>
        <v>Tinggi</v>
      </c>
      <c r="W70" s="128" t="str">
        <f>IF(W69&gt;0.9,"Sangat Tinggi",IF(W69&gt;0.75,"Tinggi",IF(W69&gt;0.65,"Sedang",IF(W69&gt;0.5,"Rendah","Sangat Rendah"))))</f>
        <v>Tinggi</v>
      </c>
      <c r="X70" s="79"/>
      <c r="Y70" s="80"/>
      <c r="Z70" s="88"/>
      <c r="AA70" s="89"/>
      <c r="AB70" s="90"/>
      <c r="AC70" s="38"/>
    </row>
    <row r="71" spans="1:35" x14ac:dyDescent="0.25">
      <c r="A71" s="129"/>
      <c r="B71" s="130"/>
      <c r="C71" s="130"/>
      <c r="D71" s="130"/>
      <c r="E71" s="130"/>
      <c r="F71" s="130"/>
      <c r="G71" s="130"/>
      <c r="H71" s="130"/>
      <c r="I71" s="293"/>
      <c r="J71" s="294"/>
      <c r="K71" s="131">
        <f>+K9</f>
        <v>11623386261</v>
      </c>
      <c r="L71" s="306" t="s">
        <v>279</v>
      </c>
      <c r="M71" s="307"/>
      <c r="N71" s="307"/>
      <c r="O71" s="307"/>
      <c r="P71" s="307"/>
      <c r="Q71" s="307"/>
      <c r="R71" s="307"/>
      <c r="S71" s="307"/>
      <c r="T71" s="308"/>
      <c r="U71" s="131">
        <f>+U9</f>
        <v>9686213000</v>
      </c>
      <c r="V71" s="132">
        <f>+(0+V69*K71)/K71</f>
        <v>0.87452027136029453</v>
      </c>
      <c r="W71" s="132">
        <f>(0+U71)/K71</f>
        <v>0.83333830456105495</v>
      </c>
      <c r="X71" s="133"/>
      <c r="Y71" s="133"/>
      <c r="Z71" s="133"/>
      <c r="AA71" s="134"/>
      <c r="AB71" s="135"/>
      <c r="AC71" s="31"/>
    </row>
    <row r="72" spans="1:35" ht="33" customHeight="1" thickBot="1" x14ac:dyDescent="0.3">
      <c r="A72" s="136"/>
      <c r="B72" s="137"/>
      <c r="C72" s="137"/>
      <c r="D72" s="137"/>
      <c r="E72" s="137"/>
      <c r="F72" s="137"/>
      <c r="G72" s="137"/>
      <c r="H72" s="137"/>
      <c r="I72" s="309"/>
      <c r="J72" s="310"/>
      <c r="K72" s="137"/>
      <c r="L72" s="311" t="s">
        <v>280</v>
      </c>
      <c r="M72" s="312"/>
      <c r="N72" s="312"/>
      <c r="O72" s="312"/>
      <c r="P72" s="312"/>
      <c r="Q72" s="312"/>
      <c r="R72" s="312"/>
      <c r="S72" s="312"/>
      <c r="T72" s="312"/>
      <c r="U72" s="313"/>
      <c r="V72" s="138" t="str">
        <f>IF(V71&gt;0.9,"Sangat Tinggi",IF(V71&gt;0.75,"Tinggi",IF(V71&gt;0.65,"Sedang",IF(V71&gt;0.5,"Rendah","Sangat Rendah"))))</f>
        <v>Tinggi</v>
      </c>
      <c r="W72" s="138" t="str">
        <f>IF(W71&gt;0.9,"Sangat Tinggi",IF(W71&gt;0.75,"Tinggi",IF(W71&gt;0.65,"Sedang",IF(W71&gt;0.5,"Rendah","Sangat Rendah"))))</f>
        <v>Tinggi</v>
      </c>
      <c r="X72" s="139"/>
      <c r="Y72" s="139"/>
      <c r="Z72" s="139"/>
      <c r="AA72" s="140"/>
      <c r="AB72" s="141"/>
      <c r="AC72" s="142"/>
    </row>
    <row r="73" spans="1:35" ht="21" customHeight="1" x14ac:dyDescent="0.25"/>
    <row r="74" spans="1:35" ht="24" customHeight="1" x14ac:dyDescent="0.25">
      <c r="A74" s="143" t="s">
        <v>281</v>
      </c>
      <c r="B74" s="143" t="s">
        <v>282</v>
      </c>
      <c r="C74" s="143" t="s">
        <v>283</v>
      </c>
      <c r="Q74" s="19" t="s">
        <v>284</v>
      </c>
      <c r="U74" s="144"/>
      <c r="V74" s="145"/>
      <c r="W74" s="314" t="s">
        <v>305</v>
      </c>
      <c r="X74" s="314"/>
      <c r="Y74" s="314"/>
      <c r="Z74" s="314"/>
      <c r="AA74" s="314"/>
      <c r="AB74" s="314"/>
    </row>
    <row r="75" spans="1:35" ht="22.5" customHeight="1" x14ac:dyDescent="0.25">
      <c r="A75" s="146" t="s">
        <v>286</v>
      </c>
      <c r="B75" s="146" t="s">
        <v>287</v>
      </c>
      <c r="C75" s="146" t="s">
        <v>288</v>
      </c>
      <c r="V75" s="145"/>
      <c r="W75" s="315" t="s">
        <v>289</v>
      </c>
      <c r="X75" s="315"/>
      <c r="Y75" s="315"/>
      <c r="Z75" s="315"/>
      <c r="AA75" s="315"/>
      <c r="AB75" s="315"/>
    </row>
    <row r="76" spans="1:35" ht="24.75" customHeight="1" x14ac:dyDescent="0.25">
      <c r="A76" s="146" t="s">
        <v>290</v>
      </c>
      <c r="B76" s="146" t="s">
        <v>291</v>
      </c>
      <c r="C76" s="146" t="s">
        <v>292</v>
      </c>
    </row>
    <row r="77" spans="1:35" ht="24.75" customHeight="1" x14ac:dyDescent="0.25">
      <c r="A77" s="146" t="s">
        <v>293</v>
      </c>
      <c r="B77" s="146" t="s">
        <v>294</v>
      </c>
      <c r="C77" s="146" t="s">
        <v>295</v>
      </c>
      <c r="X77" s="147"/>
      <c r="Y77" s="304"/>
      <c r="Z77" s="304"/>
      <c r="AA77" s="304"/>
    </row>
    <row r="78" spans="1:35" ht="22.5" customHeight="1" x14ac:dyDescent="0.25">
      <c r="A78" s="146" t="s">
        <v>296</v>
      </c>
      <c r="B78" s="146" t="s">
        <v>297</v>
      </c>
      <c r="C78" s="146" t="s">
        <v>298</v>
      </c>
      <c r="X78" s="305" t="s">
        <v>299</v>
      </c>
      <c r="Y78" s="305"/>
      <c r="Z78" s="305"/>
      <c r="AA78" s="305"/>
      <c r="AB78" s="305"/>
    </row>
    <row r="79" spans="1:35" ht="23.25" customHeight="1" x14ac:dyDescent="0.25">
      <c r="A79" s="146" t="s">
        <v>300</v>
      </c>
      <c r="B79" s="148" t="s">
        <v>301</v>
      </c>
      <c r="C79" s="146" t="s">
        <v>302</v>
      </c>
      <c r="V79" s="145"/>
      <c r="W79" s="149"/>
      <c r="X79" s="305" t="s">
        <v>303</v>
      </c>
      <c r="Y79" s="305"/>
      <c r="Z79" s="305"/>
      <c r="AA79" s="305"/>
      <c r="AB79" s="305"/>
    </row>
    <row r="80" spans="1:35" ht="15" customHeight="1" x14ac:dyDescent="0.25">
      <c r="X80" s="305" t="s">
        <v>304</v>
      </c>
      <c r="Y80" s="305"/>
      <c r="Z80" s="305"/>
      <c r="AA80" s="305"/>
      <c r="AB80" s="305"/>
    </row>
    <row r="81" spans="24:27" x14ac:dyDescent="0.25">
      <c r="X81" s="147"/>
      <c r="Y81" s="147"/>
      <c r="Z81" s="147"/>
      <c r="AA81" s="147"/>
    </row>
  </sheetData>
  <mergeCells count="53">
    <mergeCell ref="Y77:AA77"/>
    <mergeCell ref="X78:AB78"/>
    <mergeCell ref="X79:AB79"/>
    <mergeCell ref="X80:AB80"/>
    <mergeCell ref="I71:J71"/>
    <mergeCell ref="L71:T71"/>
    <mergeCell ref="I72:J72"/>
    <mergeCell ref="L72:U72"/>
    <mergeCell ref="W74:AB74"/>
    <mergeCell ref="W75:AB75"/>
    <mergeCell ref="I70:J70"/>
    <mergeCell ref="L70:U70"/>
    <mergeCell ref="N7:O7"/>
    <mergeCell ref="P7:Q7"/>
    <mergeCell ref="R7:S7"/>
    <mergeCell ref="T7:U7"/>
    <mergeCell ref="I8:J8"/>
    <mergeCell ref="I68:J68"/>
    <mergeCell ref="I69:J69"/>
    <mergeCell ref="L69:U69"/>
    <mergeCell ref="Z6:AA6"/>
    <mergeCell ref="A7:A8"/>
    <mergeCell ref="B7:B8"/>
    <mergeCell ref="C7:C8"/>
    <mergeCell ref="D7:D8"/>
    <mergeCell ref="E7:F7"/>
    <mergeCell ref="G7:H7"/>
    <mergeCell ref="I7:K7"/>
    <mergeCell ref="L7:M7"/>
    <mergeCell ref="Z7:AA7"/>
    <mergeCell ref="V7:W7"/>
    <mergeCell ref="X7:Y7"/>
    <mergeCell ref="P6:Q6"/>
    <mergeCell ref="R6:S6"/>
    <mergeCell ref="T6:U6"/>
    <mergeCell ref="V6:W6"/>
    <mergeCell ref="X6:Y6"/>
    <mergeCell ref="E6:F6"/>
    <mergeCell ref="G6:H6"/>
    <mergeCell ref="I6:K6"/>
    <mergeCell ref="L6:M6"/>
    <mergeCell ref="N6:O6"/>
    <mergeCell ref="A1:AC1"/>
    <mergeCell ref="A2:AC2"/>
    <mergeCell ref="A3:AC3"/>
    <mergeCell ref="E5:F5"/>
    <mergeCell ref="G5:H5"/>
    <mergeCell ref="I5:K5"/>
    <mergeCell ref="L5:S5"/>
    <mergeCell ref="T5:U5"/>
    <mergeCell ref="V5:W5"/>
    <mergeCell ref="X5:Y5"/>
    <mergeCell ref="Z5:AA5"/>
  </mergeCells>
  <pageMargins left="0.25" right="0.25" top="0.75" bottom="0.75" header="0.3" footer="0.3"/>
  <pageSetup paperSize="5" orientation="landscape" horizontalDpi="4294967293" verticalDpi="0" r:id="rId1"/>
  <rowBreaks count="3" manualBreakCount="3">
    <brk id="16" max="27" man="1"/>
    <brk id="31" max="27" man="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1"/>
  <sheetViews>
    <sheetView topLeftCell="C5" zoomScale="80" zoomScaleNormal="80" workbookViewId="0">
      <pane xSplit="2" ySplit="3" topLeftCell="E8" activePane="bottomRight" state="frozen"/>
      <selection activeCell="C52" sqref="C52"/>
      <selection pane="topRight" activeCell="C52" sqref="C52"/>
      <selection pane="bottomLeft" activeCell="C52" sqref="C52"/>
      <selection pane="bottomRight" activeCell="C52" sqref="C52"/>
    </sheetView>
  </sheetViews>
  <sheetFormatPr defaultColWidth="9.140625" defaultRowHeight="16.5" x14ac:dyDescent="0.25"/>
  <cols>
    <col min="1" max="1" width="5.42578125" style="19" customWidth="1"/>
    <col min="2" max="2" width="17.85546875" style="19" customWidth="1"/>
    <col min="3" max="3" width="18.85546875" style="19" customWidth="1"/>
    <col min="4" max="4" width="17.42578125" style="19" customWidth="1"/>
    <col min="5" max="5" width="4.28515625" style="19" customWidth="1"/>
    <col min="6" max="6" width="28.140625" style="19" customWidth="1"/>
    <col min="7" max="7" width="4.42578125" style="19" customWidth="1"/>
    <col min="8" max="8" width="5.85546875" style="19" customWidth="1"/>
    <col min="9" max="9" width="4.5703125" style="19" customWidth="1"/>
    <col min="10" max="10" width="8.28515625" style="19" customWidth="1"/>
    <col min="11" max="11" width="14.5703125" style="19" bestFit="1" customWidth="1"/>
    <col min="12" max="12" width="5.5703125" style="19" customWidth="1"/>
    <col min="13" max="13" width="16.28515625" style="19" customWidth="1"/>
    <col min="14" max="14" width="6.140625" style="19" customWidth="1"/>
    <col min="15" max="15" width="14.42578125" style="19" customWidth="1"/>
    <col min="16" max="16" width="5.42578125" style="19" customWidth="1"/>
    <col min="17" max="17" width="16.85546875" style="19" customWidth="1"/>
    <col min="18" max="18" width="8" style="19" customWidth="1"/>
    <col min="19" max="19" width="19" style="19" customWidth="1"/>
    <col min="20" max="20" width="9.28515625" style="19" customWidth="1"/>
    <col min="21" max="21" width="15" style="19" customWidth="1"/>
    <col min="22" max="22" width="11.42578125" style="19" customWidth="1"/>
    <col min="23" max="23" width="10.42578125" style="19" customWidth="1"/>
    <col min="24" max="24" width="9.28515625" style="19" bestFit="1" customWidth="1"/>
    <col min="25" max="25" width="15.42578125" style="19" customWidth="1"/>
    <col min="26" max="27" width="9.140625" style="19"/>
    <col min="28" max="28" width="33.85546875" style="22" customWidth="1"/>
    <col min="29" max="29" width="27" style="22" customWidth="1"/>
    <col min="30" max="31" width="9.140625" style="19"/>
    <col min="32" max="34" width="9.140625" style="20"/>
    <col min="35" max="35" width="9.140625" style="19"/>
    <col min="36" max="16384" width="9.140625" style="21"/>
  </cols>
  <sheetData>
    <row r="1" spans="1:35" x14ac:dyDescent="0.25">
      <c r="A1" s="288" t="s">
        <v>128</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row>
    <row r="2" spans="1:35" x14ac:dyDescent="0.25">
      <c r="A2" s="288" t="s">
        <v>129</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row>
    <row r="3" spans="1:35" x14ac:dyDescent="0.25">
      <c r="A3" s="289" t="s">
        <v>130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row>
    <row r="4" spans="1:35" ht="14.65" customHeight="1" thickBot="1" x14ac:dyDescent="0.3"/>
    <row r="5" spans="1:35" ht="104.25" customHeight="1" x14ac:dyDescent="0.25">
      <c r="A5" s="23" t="s">
        <v>131</v>
      </c>
      <c r="B5" s="24" t="s">
        <v>132</v>
      </c>
      <c r="C5" s="24" t="s">
        <v>133</v>
      </c>
      <c r="D5" s="24" t="s">
        <v>134</v>
      </c>
      <c r="E5" s="290" t="s">
        <v>135</v>
      </c>
      <c r="F5" s="290"/>
      <c r="G5" s="290" t="s">
        <v>136</v>
      </c>
      <c r="H5" s="290"/>
      <c r="I5" s="290" t="s">
        <v>137</v>
      </c>
      <c r="J5" s="290"/>
      <c r="K5" s="290"/>
      <c r="L5" s="290" t="s">
        <v>138</v>
      </c>
      <c r="M5" s="290"/>
      <c r="N5" s="290"/>
      <c r="O5" s="290"/>
      <c r="P5" s="290"/>
      <c r="Q5" s="290"/>
      <c r="R5" s="290"/>
      <c r="S5" s="290"/>
      <c r="T5" s="290" t="s">
        <v>139</v>
      </c>
      <c r="U5" s="290"/>
      <c r="V5" s="290" t="s">
        <v>140</v>
      </c>
      <c r="W5" s="290"/>
      <c r="X5" s="290" t="s">
        <v>141</v>
      </c>
      <c r="Y5" s="290"/>
      <c r="Z5" s="290" t="s">
        <v>142</v>
      </c>
      <c r="AA5" s="291"/>
      <c r="AB5" s="25" t="s">
        <v>143</v>
      </c>
      <c r="AC5" s="26" t="s">
        <v>144</v>
      </c>
    </row>
    <row r="6" spans="1:35" x14ac:dyDescent="0.25">
      <c r="A6" s="27"/>
      <c r="B6" s="28"/>
      <c r="C6" s="29"/>
      <c r="D6" s="29"/>
      <c r="E6" s="292"/>
      <c r="F6" s="292"/>
      <c r="G6" s="293"/>
      <c r="H6" s="294"/>
      <c r="I6" s="295"/>
      <c r="J6" s="295"/>
      <c r="K6" s="295"/>
      <c r="L6" s="292" t="s">
        <v>145</v>
      </c>
      <c r="M6" s="292"/>
      <c r="N6" s="296" t="s">
        <v>146</v>
      </c>
      <c r="O6" s="296"/>
      <c r="P6" s="296" t="s">
        <v>147</v>
      </c>
      <c r="Q6" s="296"/>
      <c r="R6" s="297" t="s">
        <v>148</v>
      </c>
      <c r="S6" s="297"/>
      <c r="T6" s="293"/>
      <c r="U6" s="294"/>
      <c r="V6" s="292"/>
      <c r="W6" s="292"/>
      <c r="X6" s="295"/>
      <c r="Y6" s="295"/>
      <c r="Z6" s="295"/>
      <c r="AA6" s="298"/>
      <c r="AB6" s="30"/>
      <c r="AC6" s="31"/>
    </row>
    <row r="7" spans="1:35" ht="15" customHeight="1" x14ac:dyDescent="0.25">
      <c r="A7" s="299">
        <v>1</v>
      </c>
      <c r="B7" s="292">
        <v>2</v>
      </c>
      <c r="C7" s="292">
        <v>3</v>
      </c>
      <c r="D7" s="292">
        <v>4</v>
      </c>
      <c r="E7" s="292">
        <v>5</v>
      </c>
      <c r="F7" s="292"/>
      <c r="G7" s="292">
        <v>6</v>
      </c>
      <c r="H7" s="292"/>
      <c r="I7" s="293">
        <v>7</v>
      </c>
      <c r="J7" s="300"/>
      <c r="K7" s="294"/>
      <c r="L7" s="292">
        <v>8</v>
      </c>
      <c r="M7" s="292"/>
      <c r="N7" s="296">
        <v>9</v>
      </c>
      <c r="O7" s="296"/>
      <c r="P7" s="296">
        <v>10</v>
      </c>
      <c r="Q7" s="296"/>
      <c r="R7" s="297">
        <v>11</v>
      </c>
      <c r="S7" s="297"/>
      <c r="T7" s="292">
        <v>12</v>
      </c>
      <c r="U7" s="292"/>
      <c r="V7" s="292" t="s">
        <v>149</v>
      </c>
      <c r="W7" s="292"/>
      <c r="X7" s="292" t="s">
        <v>150</v>
      </c>
      <c r="Y7" s="292"/>
      <c r="Z7" s="292" t="s">
        <v>151</v>
      </c>
      <c r="AA7" s="293"/>
      <c r="AB7" s="32">
        <v>16</v>
      </c>
      <c r="AC7" s="33">
        <v>17</v>
      </c>
    </row>
    <row r="8" spans="1:35" x14ac:dyDescent="0.25">
      <c r="A8" s="299"/>
      <c r="B8" s="292"/>
      <c r="C8" s="292"/>
      <c r="D8" s="292"/>
      <c r="E8" s="34" t="s">
        <v>152</v>
      </c>
      <c r="F8" s="34" t="s">
        <v>153</v>
      </c>
      <c r="G8" s="34" t="s">
        <v>152</v>
      </c>
      <c r="H8" s="34" t="s">
        <v>153</v>
      </c>
      <c r="I8" s="302" t="s">
        <v>152</v>
      </c>
      <c r="J8" s="303"/>
      <c r="K8" s="34" t="s">
        <v>153</v>
      </c>
      <c r="L8" s="34" t="s">
        <v>152</v>
      </c>
      <c r="M8" s="34" t="s">
        <v>153</v>
      </c>
      <c r="N8" s="35" t="s">
        <v>152</v>
      </c>
      <c r="O8" s="35" t="s">
        <v>153</v>
      </c>
      <c r="P8" s="35" t="s">
        <v>152</v>
      </c>
      <c r="Q8" s="35" t="s">
        <v>153</v>
      </c>
      <c r="R8" s="35" t="s">
        <v>152</v>
      </c>
      <c r="S8" s="35" t="s">
        <v>153</v>
      </c>
      <c r="T8" s="34" t="s">
        <v>152</v>
      </c>
      <c r="U8" s="34" t="s">
        <v>153</v>
      </c>
      <c r="V8" s="34" t="s">
        <v>152</v>
      </c>
      <c r="W8" s="34" t="s">
        <v>153</v>
      </c>
      <c r="X8" s="34" t="s">
        <v>152</v>
      </c>
      <c r="Y8" s="34" t="s">
        <v>153</v>
      </c>
      <c r="Z8" s="34" t="s">
        <v>152</v>
      </c>
      <c r="AA8" s="36" t="s">
        <v>153</v>
      </c>
      <c r="AB8" s="37"/>
      <c r="AC8" s="38"/>
    </row>
    <row r="9" spans="1:35" s="57" customFormat="1" ht="76.5" customHeight="1" x14ac:dyDescent="0.25">
      <c r="A9" s="39"/>
      <c r="B9" s="40"/>
      <c r="C9" s="41" t="s">
        <v>154</v>
      </c>
      <c r="D9" s="42"/>
      <c r="E9" s="43"/>
      <c r="F9" s="44"/>
      <c r="G9" s="43"/>
      <c r="H9" s="44"/>
      <c r="I9" s="45"/>
      <c r="J9" s="46"/>
      <c r="K9" s="47">
        <f>0+K10+K17+K21+K23+K26+K32+K34+K38+K42+K50+K53+K62+K65</f>
        <v>11623386261</v>
      </c>
      <c r="L9" s="48"/>
      <c r="M9" s="47">
        <f>0+M10+M17+M21+M23+M26+M32+M34+M38+M42+M50+M53+M62+M65</f>
        <v>1116709563</v>
      </c>
      <c r="N9" s="48"/>
      <c r="O9" s="47">
        <f>0+O10+O17+O21+O23+O26+O32+O34+O38+O42+O50+O53+O62+O65</f>
        <v>4558040883</v>
      </c>
      <c r="P9" s="48"/>
      <c r="Q9" s="47">
        <f>0+Q10+Q17+Q21+Q23+Q26+Q32+Q34+Q38+Q42+Q50+Q53+Q62+Q65</f>
        <v>2706868823</v>
      </c>
      <c r="R9" s="48"/>
      <c r="S9" s="47">
        <f>0+S10+S17+S21+S23+S26+S32+S34+S38+S42+S50+S53+S62+S65</f>
        <v>1245531337</v>
      </c>
      <c r="T9" s="47"/>
      <c r="U9" s="47">
        <f>0+U10+U17+U21+U23+U26+U32+U34+U38+U42+U50+U53+U62+U65</f>
        <v>8510441043</v>
      </c>
      <c r="V9" s="49"/>
      <c r="W9" s="49">
        <f>U9/K9*100%</f>
        <v>0.73218258878267872</v>
      </c>
      <c r="X9" s="50"/>
      <c r="Y9" s="47">
        <f t="shared" ref="Y9:Y67" si="0">U9+H9</f>
        <v>8510441043</v>
      </c>
      <c r="Z9" s="51"/>
      <c r="AA9" s="52">
        <f>IFERROR(Y9/F9,0)</f>
        <v>0</v>
      </c>
      <c r="AB9" s="53" t="s">
        <v>155</v>
      </c>
      <c r="AC9" s="54"/>
      <c r="AD9" s="55"/>
      <c r="AE9" s="55"/>
      <c r="AF9" s="56"/>
      <c r="AG9" s="56"/>
      <c r="AH9" s="56"/>
      <c r="AI9" s="55"/>
    </row>
    <row r="10" spans="1:35" s="74" customFormat="1" ht="72" customHeight="1" x14ac:dyDescent="0.25">
      <c r="A10" s="58"/>
      <c r="B10" s="59"/>
      <c r="C10" s="60" t="s">
        <v>156</v>
      </c>
      <c r="D10" s="60" t="s">
        <v>157</v>
      </c>
      <c r="E10" s="61"/>
      <c r="F10" s="62"/>
      <c r="G10" s="61"/>
      <c r="H10" s="62"/>
      <c r="I10" s="63"/>
      <c r="J10" s="64"/>
      <c r="K10" s="65">
        <f>0+K11+K13+K15+K16+K12+K14</f>
        <v>53416000</v>
      </c>
      <c r="L10" s="66"/>
      <c r="M10" s="65">
        <f>0+M11+M13+M15+M16+M12+M14</f>
        <v>8271400</v>
      </c>
      <c r="N10" s="66"/>
      <c r="O10" s="65">
        <f>0+O11+O13+O15+O16+O12+O14</f>
        <v>15311900</v>
      </c>
      <c r="P10" s="66"/>
      <c r="Q10" s="65">
        <f>0+Q11+Q13+Q15+Q16+Q12+Q14</f>
        <v>27524905</v>
      </c>
      <c r="R10" s="66"/>
      <c r="S10" s="65">
        <f>0+S11+S13+S15+S16+S12+S14</f>
        <v>0</v>
      </c>
      <c r="T10" s="65"/>
      <c r="U10" s="65">
        <f>0+U11+U13+U15+U16+U12+U14</f>
        <v>42836805</v>
      </c>
      <c r="V10" s="67"/>
      <c r="W10" s="67">
        <f>U10/K10*100%</f>
        <v>0.8019470757825371</v>
      </c>
      <c r="X10" s="68"/>
      <c r="Y10" s="65">
        <f t="shared" si="0"/>
        <v>42836805</v>
      </c>
      <c r="Z10" s="69"/>
      <c r="AA10" s="65">
        <f>0+AA11+AA13+AA15+AA16+AA12+AA14</f>
        <v>0</v>
      </c>
      <c r="AB10" s="70"/>
      <c r="AC10" s="71"/>
      <c r="AD10" s="72"/>
      <c r="AE10" s="72"/>
      <c r="AF10" s="73"/>
      <c r="AG10" s="73"/>
      <c r="AH10" s="73"/>
      <c r="AI10" s="72"/>
    </row>
    <row r="11" spans="1:35" ht="99.75" customHeight="1" x14ac:dyDescent="0.25">
      <c r="A11" s="75"/>
      <c r="B11" s="76"/>
      <c r="C11" s="77" t="s">
        <v>158</v>
      </c>
      <c r="D11" s="78" t="s">
        <v>159</v>
      </c>
      <c r="E11" s="79">
        <v>0</v>
      </c>
      <c r="F11" s="80">
        <v>0</v>
      </c>
      <c r="G11" s="79">
        <v>0</v>
      </c>
      <c r="H11" s="81">
        <v>0</v>
      </c>
      <c r="I11" s="82">
        <v>1</v>
      </c>
      <c r="J11" s="83" t="s">
        <v>160</v>
      </c>
      <c r="K11" s="80">
        <v>5979500</v>
      </c>
      <c r="L11" s="84" t="s">
        <v>161</v>
      </c>
      <c r="M11" s="85">
        <v>734200</v>
      </c>
      <c r="N11" s="85">
        <v>1</v>
      </c>
      <c r="O11" s="85">
        <v>1557900</v>
      </c>
      <c r="P11" s="86">
        <v>0</v>
      </c>
      <c r="Q11" s="86">
        <v>4421600</v>
      </c>
      <c r="R11" s="86" t="s">
        <v>162</v>
      </c>
      <c r="S11" s="86">
        <v>0</v>
      </c>
      <c r="T11" s="80">
        <f t="shared" ref="T11:U16" si="1">SUM(L11,N11,P11,R11)</f>
        <v>1</v>
      </c>
      <c r="U11" s="80">
        <f>SUM(O11,Q11)</f>
        <v>5979500</v>
      </c>
      <c r="V11" s="87">
        <f>T11/I11*100%</f>
        <v>1</v>
      </c>
      <c r="W11" s="87">
        <f t="shared" ref="W11:W67" si="2">U11/K11*100%</f>
        <v>1</v>
      </c>
      <c r="X11" s="80">
        <f t="shared" ref="X11:X16" si="3">T11+G11</f>
        <v>1</v>
      </c>
      <c r="Y11" s="80">
        <f t="shared" si="0"/>
        <v>5979500</v>
      </c>
      <c r="Z11" s="88">
        <f t="shared" ref="Z11:AA16" si="4">IFERROR(X11/E11,0)</f>
        <v>0</v>
      </c>
      <c r="AA11" s="89">
        <f t="shared" si="4"/>
        <v>0</v>
      </c>
      <c r="AB11" s="90"/>
      <c r="AC11" s="38"/>
    </row>
    <row r="12" spans="1:35" ht="99.75" customHeight="1" x14ac:dyDescent="0.25">
      <c r="A12" s="75"/>
      <c r="B12" s="76"/>
      <c r="C12" s="77" t="s">
        <v>163</v>
      </c>
      <c r="D12" s="91" t="s">
        <v>164</v>
      </c>
      <c r="E12" s="79">
        <v>0</v>
      </c>
      <c r="F12" s="80">
        <v>0</v>
      </c>
      <c r="G12" s="79">
        <v>0</v>
      </c>
      <c r="H12" s="81">
        <v>0</v>
      </c>
      <c r="I12" s="82">
        <v>1</v>
      </c>
      <c r="J12" s="83" t="s">
        <v>160</v>
      </c>
      <c r="K12" s="80">
        <v>4129500</v>
      </c>
      <c r="L12" s="85"/>
      <c r="M12" s="81"/>
      <c r="N12" s="85">
        <v>0</v>
      </c>
      <c r="O12" s="85"/>
      <c r="P12" s="86">
        <v>1</v>
      </c>
      <c r="Q12" s="86">
        <v>4129300</v>
      </c>
      <c r="R12" s="86">
        <v>0</v>
      </c>
      <c r="S12" s="86">
        <v>0</v>
      </c>
      <c r="T12" s="80">
        <f t="shared" si="1"/>
        <v>1</v>
      </c>
      <c r="U12" s="80">
        <f t="shared" si="1"/>
        <v>4129300</v>
      </c>
      <c r="V12" s="87">
        <f>T12/I12*100%</f>
        <v>1</v>
      </c>
      <c r="W12" s="87">
        <f t="shared" si="2"/>
        <v>0.99995156798643903</v>
      </c>
      <c r="X12" s="80">
        <f t="shared" si="3"/>
        <v>1</v>
      </c>
      <c r="Y12" s="80">
        <f t="shared" si="0"/>
        <v>4129300</v>
      </c>
      <c r="Z12" s="88">
        <f t="shared" si="4"/>
        <v>0</v>
      </c>
      <c r="AA12" s="89">
        <f t="shared" si="4"/>
        <v>0</v>
      </c>
      <c r="AB12" s="90"/>
      <c r="AC12" s="38"/>
    </row>
    <row r="13" spans="1:35" ht="99.75" customHeight="1" x14ac:dyDescent="0.25">
      <c r="A13" s="75"/>
      <c r="B13" s="76"/>
      <c r="C13" s="77" t="s">
        <v>165</v>
      </c>
      <c r="D13" s="92" t="s">
        <v>166</v>
      </c>
      <c r="E13" s="79">
        <v>0</v>
      </c>
      <c r="F13" s="80">
        <v>0</v>
      </c>
      <c r="G13" s="79">
        <v>0</v>
      </c>
      <c r="H13" s="81">
        <v>0</v>
      </c>
      <c r="I13" s="82">
        <v>1</v>
      </c>
      <c r="J13" s="93" t="s">
        <v>160</v>
      </c>
      <c r="K13" s="80">
        <v>4555500</v>
      </c>
      <c r="L13" s="84" t="s">
        <v>161</v>
      </c>
      <c r="M13" s="85">
        <v>641200</v>
      </c>
      <c r="N13" s="85">
        <v>1</v>
      </c>
      <c r="O13" s="85">
        <v>1348700</v>
      </c>
      <c r="P13" s="86">
        <v>0</v>
      </c>
      <c r="Q13" s="86">
        <v>956800</v>
      </c>
      <c r="R13" s="86">
        <v>0</v>
      </c>
      <c r="S13" s="86">
        <v>0</v>
      </c>
      <c r="T13" s="80">
        <f t="shared" si="1"/>
        <v>1</v>
      </c>
      <c r="U13" s="80">
        <f>SUM(O13,Q13,S13)</f>
        <v>2305500</v>
      </c>
      <c r="V13" s="87">
        <f t="shared" ref="V13:V16" si="5">T13/I13*100%</f>
        <v>1</v>
      </c>
      <c r="W13" s="87">
        <f t="shared" si="2"/>
        <v>0.50609153770167925</v>
      </c>
      <c r="X13" s="80">
        <f t="shared" si="3"/>
        <v>1</v>
      </c>
      <c r="Y13" s="80">
        <f t="shared" si="0"/>
        <v>2305500</v>
      </c>
      <c r="Z13" s="88">
        <f t="shared" si="4"/>
        <v>0</v>
      </c>
      <c r="AA13" s="89">
        <f t="shared" si="4"/>
        <v>0</v>
      </c>
      <c r="AB13" s="90"/>
      <c r="AC13" s="38"/>
    </row>
    <row r="14" spans="1:35" ht="99.75" customHeight="1" x14ac:dyDescent="0.25">
      <c r="A14" s="75"/>
      <c r="B14" s="76"/>
      <c r="C14" s="77" t="s">
        <v>167</v>
      </c>
      <c r="D14" s="94" t="s">
        <v>168</v>
      </c>
      <c r="E14" s="79">
        <v>0</v>
      </c>
      <c r="F14" s="80">
        <v>0</v>
      </c>
      <c r="G14" s="79">
        <v>0</v>
      </c>
      <c r="H14" s="81">
        <v>0</v>
      </c>
      <c r="I14" s="82">
        <v>1</v>
      </c>
      <c r="J14" s="83" t="s">
        <v>160</v>
      </c>
      <c r="K14" s="80">
        <v>4207400</v>
      </c>
      <c r="L14" s="85"/>
      <c r="M14" s="81">
        <v>0</v>
      </c>
      <c r="N14" s="85"/>
      <c r="O14" s="85"/>
      <c r="P14" s="86"/>
      <c r="Q14" s="86">
        <v>1000000</v>
      </c>
      <c r="R14" s="86">
        <v>0</v>
      </c>
      <c r="S14" s="86">
        <v>0</v>
      </c>
      <c r="T14" s="80">
        <f t="shared" si="1"/>
        <v>0</v>
      </c>
      <c r="U14" s="80">
        <f t="shared" si="1"/>
        <v>1000000</v>
      </c>
      <c r="V14" s="87">
        <f t="shared" si="5"/>
        <v>0</v>
      </c>
      <c r="W14" s="87">
        <f t="shared" si="2"/>
        <v>0.23767647478252601</v>
      </c>
      <c r="X14" s="80">
        <f t="shared" si="3"/>
        <v>0</v>
      </c>
      <c r="Y14" s="80">
        <f t="shared" si="0"/>
        <v>1000000</v>
      </c>
      <c r="Z14" s="88">
        <f t="shared" si="4"/>
        <v>0</v>
      </c>
      <c r="AA14" s="89">
        <f t="shared" si="4"/>
        <v>0</v>
      </c>
      <c r="AB14" s="90"/>
      <c r="AC14" s="38"/>
    </row>
    <row r="15" spans="1:35" ht="99.75" customHeight="1" x14ac:dyDescent="0.25">
      <c r="A15" s="75"/>
      <c r="B15" s="76"/>
      <c r="C15" s="77" t="s">
        <v>169</v>
      </c>
      <c r="D15" s="95" t="s">
        <v>170</v>
      </c>
      <c r="E15" s="79">
        <v>0</v>
      </c>
      <c r="F15" s="80">
        <v>0</v>
      </c>
      <c r="G15" s="79">
        <v>0</v>
      </c>
      <c r="H15" s="81">
        <v>0</v>
      </c>
      <c r="I15" s="82">
        <v>2</v>
      </c>
      <c r="J15" s="83" t="s">
        <v>160</v>
      </c>
      <c r="K15" s="80">
        <v>26869300</v>
      </c>
      <c r="L15" s="85">
        <v>1</v>
      </c>
      <c r="M15" s="85">
        <v>4663200</v>
      </c>
      <c r="N15" s="85">
        <v>1</v>
      </c>
      <c r="O15" s="85">
        <v>9439900</v>
      </c>
      <c r="P15" s="86">
        <v>0</v>
      </c>
      <c r="Q15" s="86">
        <v>13807805</v>
      </c>
      <c r="R15" s="86" t="s">
        <v>162</v>
      </c>
      <c r="S15" s="86">
        <v>0</v>
      </c>
      <c r="T15" s="80">
        <f t="shared" si="1"/>
        <v>2</v>
      </c>
      <c r="U15" s="80">
        <f>SUM(O15,Q15,S15)</f>
        <v>23247705</v>
      </c>
      <c r="V15" s="87">
        <f t="shared" si="5"/>
        <v>1</v>
      </c>
      <c r="W15" s="87">
        <f>U15/K15*100%</f>
        <v>0.86521438965659692</v>
      </c>
      <c r="X15" s="80">
        <f t="shared" si="3"/>
        <v>2</v>
      </c>
      <c r="Y15" s="80">
        <f t="shared" si="0"/>
        <v>23247705</v>
      </c>
      <c r="Z15" s="88">
        <f t="shared" si="4"/>
        <v>0</v>
      </c>
      <c r="AA15" s="89">
        <f t="shared" si="4"/>
        <v>0</v>
      </c>
      <c r="AB15" s="90"/>
      <c r="AC15" s="38"/>
    </row>
    <row r="16" spans="1:35" ht="99.75" customHeight="1" x14ac:dyDescent="0.25">
      <c r="A16" s="75"/>
      <c r="B16" s="76"/>
      <c r="C16" s="77" t="s">
        <v>20</v>
      </c>
      <c r="D16" s="96" t="s">
        <v>171</v>
      </c>
      <c r="E16" s="79">
        <v>0</v>
      </c>
      <c r="F16" s="80">
        <v>0</v>
      </c>
      <c r="G16" s="79">
        <v>0</v>
      </c>
      <c r="H16" s="81">
        <v>0</v>
      </c>
      <c r="I16" s="82">
        <v>3</v>
      </c>
      <c r="J16" s="83" t="s">
        <v>160</v>
      </c>
      <c r="K16" s="80">
        <v>7674800</v>
      </c>
      <c r="L16" s="85">
        <v>1</v>
      </c>
      <c r="M16" s="85">
        <v>2232800</v>
      </c>
      <c r="N16" s="85">
        <v>2</v>
      </c>
      <c r="O16" s="85">
        <v>2965400</v>
      </c>
      <c r="P16" s="86">
        <v>0</v>
      </c>
      <c r="Q16" s="86">
        <v>3209400</v>
      </c>
      <c r="R16" s="86">
        <v>0</v>
      </c>
      <c r="S16" s="86">
        <v>0</v>
      </c>
      <c r="T16" s="80">
        <f t="shared" si="1"/>
        <v>3</v>
      </c>
      <c r="U16" s="80">
        <f>SUM(O16,Q16,S16)</f>
        <v>6174800</v>
      </c>
      <c r="V16" s="87">
        <f t="shared" si="5"/>
        <v>1</v>
      </c>
      <c r="W16" s="87">
        <f t="shared" si="2"/>
        <v>0.80455516756136969</v>
      </c>
      <c r="X16" s="80">
        <f t="shared" si="3"/>
        <v>3</v>
      </c>
      <c r="Y16" s="80">
        <f t="shared" si="0"/>
        <v>6174800</v>
      </c>
      <c r="Z16" s="88">
        <f t="shared" si="4"/>
        <v>0</v>
      </c>
      <c r="AA16" s="89">
        <f t="shared" si="4"/>
        <v>0</v>
      </c>
      <c r="AB16" s="90"/>
      <c r="AC16" s="38"/>
    </row>
    <row r="17" spans="1:35" s="74" customFormat="1" ht="47.25" customHeight="1" x14ac:dyDescent="0.25">
      <c r="A17" s="58"/>
      <c r="B17" s="59"/>
      <c r="C17" s="60" t="s">
        <v>172</v>
      </c>
      <c r="D17" s="97"/>
      <c r="E17" s="61"/>
      <c r="F17" s="62">
        <f>0+F18+F19+F20</f>
        <v>0</v>
      </c>
      <c r="G17" s="61"/>
      <c r="H17" s="62">
        <f>0+H18+H19+H20</f>
        <v>0</v>
      </c>
      <c r="I17" s="63"/>
      <c r="J17" s="64"/>
      <c r="K17" s="65">
        <f>0+K18+K19+K20</f>
        <v>4073339681</v>
      </c>
      <c r="L17" s="66"/>
      <c r="M17" s="65">
        <f>0+M18+M19+M20</f>
        <v>731176325</v>
      </c>
      <c r="N17" s="66"/>
      <c r="O17" s="65">
        <f>0+O18+O19+O20</f>
        <v>1816246484</v>
      </c>
      <c r="P17" s="66"/>
      <c r="Q17" s="65">
        <f>0+Q18+Q19+Q20</f>
        <v>1017404168</v>
      </c>
      <c r="R17" s="66"/>
      <c r="S17" s="65">
        <f>0+S18+S19+S20</f>
        <v>305368627</v>
      </c>
      <c r="T17" s="65"/>
      <c r="U17" s="65">
        <f>0+U18+U19+U20</f>
        <v>3139019279</v>
      </c>
      <c r="V17" s="67"/>
      <c r="W17" s="67">
        <f>U17/K17*100%</f>
        <v>0.77062546333709503</v>
      </c>
      <c r="X17" s="68"/>
      <c r="Y17" s="65">
        <f t="shared" si="0"/>
        <v>3139019279</v>
      </c>
      <c r="Z17" s="69"/>
      <c r="AA17" s="65">
        <f>0+AA18+AA19+AA20</f>
        <v>0</v>
      </c>
      <c r="AB17" s="70"/>
      <c r="AC17" s="71"/>
      <c r="AD17" s="72"/>
      <c r="AE17" s="72"/>
      <c r="AF17" s="73"/>
      <c r="AG17" s="73"/>
      <c r="AH17" s="73"/>
      <c r="AI17" s="72"/>
    </row>
    <row r="18" spans="1:35" ht="50.25" customHeight="1" x14ac:dyDescent="0.25">
      <c r="A18" s="75"/>
      <c r="B18" s="76"/>
      <c r="C18" s="77" t="s">
        <v>24</v>
      </c>
      <c r="D18" s="77" t="s">
        <v>173</v>
      </c>
      <c r="E18" s="79">
        <v>0</v>
      </c>
      <c r="F18" s="80">
        <v>0</v>
      </c>
      <c r="G18" s="79">
        <v>0</v>
      </c>
      <c r="H18" s="81">
        <v>0</v>
      </c>
      <c r="I18" s="82">
        <v>14</v>
      </c>
      <c r="J18" s="83" t="s">
        <v>174</v>
      </c>
      <c r="K18" s="80">
        <v>3974459381</v>
      </c>
      <c r="L18" s="85">
        <v>3</v>
      </c>
      <c r="M18" s="85">
        <v>716916325</v>
      </c>
      <c r="N18" s="85">
        <v>3</v>
      </c>
      <c r="O18" s="85">
        <v>1780596484</v>
      </c>
      <c r="P18" s="86">
        <v>3</v>
      </c>
      <c r="Q18" s="86">
        <v>995313368</v>
      </c>
      <c r="R18" s="86">
        <v>1</v>
      </c>
      <c r="S18" s="86">
        <v>286988627</v>
      </c>
      <c r="T18" s="80">
        <f>L18+N18+P18+R18</f>
        <v>10</v>
      </c>
      <c r="U18" s="80">
        <f>SUM(O18,Q18,S18)</f>
        <v>3062898479</v>
      </c>
      <c r="V18" s="87">
        <f>T18/I18*100%</f>
        <v>0.7142857142857143</v>
      </c>
      <c r="W18" s="87">
        <f>U18/K18*100%</f>
        <v>0.7706453093072887</v>
      </c>
      <c r="X18" s="80">
        <f>T18+G18</f>
        <v>10</v>
      </c>
      <c r="Y18" s="80">
        <f>U18+H18</f>
        <v>3062898479</v>
      </c>
      <c r="Z18" s="88">
        <f t="shared" ref="Z18:AA20" si="6">IFERROR(X18/E18,0)</f>
        <v>0</v>
      </c>
      <c r="AA18" s="89">
        <f t="shared" si="6"/>
        <v>0</v>
      </c>
      <c r="AB18" s="90"/>
      <c r="AC18" s="38"/>
    </row>
    <row r="19" spans="1:35" ht="68.25" customHeight="1" x14ac:dyDescent="0.25">
      <c r="A19" s="75"/>
      <c r="B19" s="76"/>
      <c r="C19" s="77" t="s">
        <v>175</v>
      </c>
      <c r="D19" s="77" t="s">
        <v>176</v>
      </c>
      <c r="E19" s="79">
        <v>0</v>
      </c>
      <c r="F19" s="80">
        <v>0</v>
      </c>
      <c r="G19" s="79">
        <v>0</v>
      </c>
      <c r="H19" s="81">
        <v>0</v>
      </c>
      <c r="I19" s="82">
        <v>1</v>
      </c>
      <c r="J19" s="83" t="s">
        <v>160</v>
      </c>
      <c r="K19" s="80">
        <v>54388300</v>
      </c>
      <c r="L19" s="81" t="s">
        <v>162</v>
      </c>
      <c r="M19" s="85">
        <v>8240000</v>
      </c>
      <c r="N19" s="85">
        <v>1</v>
      </c>
      <c r="O19" s="85">
        <v>20600000</v>
      </c>
      <c r="P19" s="86">
        <v>0</v>
      </c>
      <c r="Q19" s="86">
        <v>9563600</v>
      </c>
      <c r="R19" s="86">
        <v>0</v>
      </c>
      <c r="S19" s="86">
        <v>12360000</v>
      </c>
      <c r="T19" s="80">
        <f t="shared" ref="T19:T20" si="7">SUM(L19,N19,P19,R19)</f>
        <v>1</v>
      </c>
      <c r="U19" s="80">
        <f>SUM(O19,Q19,S19)</f>
        <v>42523600</v>
      </c>
      <c r="V19" s="87">
        <f>T19/I19*100%</f>
        <v>1</v>
      </c>
      <c r="W19" s="87">
        <f t="shared" si="2"/>
        <v>0.78185197919405458</v>
      </c>
      <c r="X19" s="80">
        <f>T19+G19</f>
        <v>1</v>
      </c>
      <c r="Y19" s="80">
        <f t="shared" si="0"/>
        <v>42523600</v>
      </c>
      <c r="Z19" s="88">
        <f t="shared" si="6"/>
        <v>0</v>
      </c>
      <c r="AA19" s="89">
        <f t="shared" si="6"/>
        <v>0</v>
      </c>
      <c r="AB19" s="90"/>
      <c r="AC19" s="38"/>
    </row>
    <row r="20" spans="1:35" ht="61.5" customHeight="1" x14ac:dyDescent="0.25">
      <c r="A20" s="75"/>
      <c r="B20" s="76"/>
      <c r="C20" s="77" t="s">
        <v>177</v>
      </c>
      <c r="D20" s="77" t="s">
        <v>178</v>
      </c>
      <c r="E20" s="79">
        <v>0</v>
      </c>
      <c r="F20" s="80">
        <v>0</v>
      </c>
      <c r="G20" s="79">
        <v>0</v>
      </c>
      <c r="H20" s="81">
        <v>0</v>
      </c>
      <c r="I20" s="82">
        <v>2</v>
      </c>
      <c r="J20" s="83" t="s">
        <v>160</v>
      </c>
      <c r="K20" s="80">
        <v>44492000</v>
      </c>
      <c r="L20" s="81" t="s">
        <v>162</v>
      </c>
      <c r="M20" s="85">
        <v>6020000</v>
      </c>
      <c r="N20" s="85">
        <v>1</v>
      </c>
      <c r="O20" s="85">
        <v>15050000</v>
      </c>
      <c r="P20" s="86">
        <v>0</v>
      </c>
      <c r="Q20" s="86">
        <v>12527200</v>
      </c>
      <c r="R20" s="86">
        <v>1</v>
      </c>
      <c r="S20" s="86">
        <v>6020000</v>
      </c>
      <c r="T20" s="80">
        <f t="shared" si="7"/>
        <v>2</v>
      </c>
      <c r="U20" s="80">
        <f>SUM(O20,Q20,S20)</f>
        <v>33597200</v>
      </c>
      <c r="V20" s="87">
        <f>T20/I20*100%</f>
        <v>1</v>
      </c>
      <c r="W20" s="87">
        <f t="shared" si="2"/>
        <v>0.75512901195720583</v>
      </c>
      <c r="X20" s="80">
        <f>T20+G20</f>
        <v>2</v>
      </c>
      <c r="Y20" s="80">
        <f t="shared" si="0"/>
        <v>33597200</v>
      </c>
      <c r="Z20" s="88">
        <f t="shared" si="6"/>
        <v>0</v>
      </c>
      <c r="AA20" s="89">
        <f t="shared" si="6"/>
        <v>0</v>
      </c>
      <c r="AB20" s="90"/>
      <c r="AC20" s="38"/>
    </row>
    <row r="21" spans="1:35" s="74" customFormat="1" ht="56.25" customHeight="1" x14ac:dyDescent="0.25">
      <c r="A21" s="58"/>
      <c r="B21" s="59"/>
      <c r="C21" s="60" t="s">
        <v>179</v>
      </c>
      <c r="D21" s="97"/>
      <c r="E21" s="61"/>
      <c r="F21" s="62">
        <f>0+F22</f>
        <v>0</v>
      </c>
      <c r="G21" s="61"/>
      <c r="H21" s="62">
        <f>0+H22</f>
        <v>0</v>
      </c>
      <c r="I21" s="63"/>
      <c r="J21" s="64"/>
      <c r="K21" s="65">
        <f>0+K22</f>
        <v>26768100</v>
      </c>
      <c r="L21" s="66"/>
      <c r="M21" s="65">
        <f>0+M22</f>
        <v>2025000</v>
      </c>
      <c r="N21" s="66"/>
      <c r="O21" s="65">
        <f>0+O22</f>
        <v>12695900</v>
      </c>
      <c r="P21" s="66"/>
      <c r="Q21" s="65">
        <f>0+Q22</f>
        <v>4050000</v>
      </c>
      <c r="R21" s="66"/>
      <c r="S21" s="65">
        <f>0+S22</f>
        <v>6075000</v>
      </c>
      <c r="T21" s="65"/>
      <c r="U21" s="65">
        <f>0+U22</f>
        <v>22820900</v>
      </c>
      <c r="V21" s="67"/>
      <c r="W21" s="67">
        <f t="shared" si="2"/>
        <v>0.85254089756090268</v>
      </c>
      <c r="X21" s="68"/>
      <c r="Y21" s="65">
        <f t="shared" si="0"/>
        <v>22820900</v>
      </c>
      <c r="Z21" s="69"/>
      <c r="AA21" s="65">
        <f>0+AA22</f>
        <v>0</v>
      </c>
      <c r="AB21" s="70"/>
      <c r="AC21" s="71"/>
      <c r="AD21" s="72"/>
      <c r="AE21" s="72"/>
      <c r="AF21" s="73"/>
      <c r="AG21" s="73"/>
      <c r="AH21" s="73"/>
      <c r="AI21" s="72"/>
    </row>
    <row r="22" spans="1:35" ht="66" customHeight="1" x14ac:dyDescent="0.25">
      <c r="A22" s="75"/>
      <c r="B22" s="76"/>
      <c r="C22" s="77" t="s">
        <v>180</v>
      </c>
      <c r="D22" s="95" t="s">
        <v>181</v>
      </c>
      <c r="E22" s="79">
        <v>0</v>
      </c>
      <c r="F22" s="80">
        <v>0</v>
      </c>
      <c r="G22" s="79">
        <v>0</v>
      </c>
      <c r="H22" s="81">
        <v>0</v>
      </c>
      <c r="I22" s="82">
        <v>1</v>
      </c>
      <c r="J22" s="83" t="s">
        <v>160</v>
      </c>
      <c r="K22" s="80">
        <v>26768100</v>
      </c>
      <c r="L22" s="85" t="s">
        <v>162</v>
      </c>
      <c r="M22" s="85">
        <v>2025000</v>
      </c>
      <c r="N22" s="85">
        <v>1</v>
      </c>
      <c r="O22" s="85">
        <v>12695900</v>
      </c>
      <c r="P22" s="86">
        <v>0</v>
      </c>
      <c r="Q22" s="86">
        <v>4050000</v>
      </c>
      <c r="R22" s="86">
        <v>0</v>
      </c>
      <c r="S22" s="86">
        <v>6075000</v>
      </c>
      <c r="T22" s="80">
        <f>SUM(L22,N22,P22,R22)</f>
        <v>1</v>
      </c>
      <c r="U22" s="80">
        <f>SUM(O22,Q22,S22)</f>
        <v>22820900</v>
      </c>
      <c r="V22" s="87">
        <f>T22/I22*100%</f>
        <v>1</v>
      </c>
      <c r="W22" s="87">
        <f t="shared" si="2"/>
        <v>0.85254089756090268</v>
      </c>
      <c r="X22" s="80">
        <f>T22+G22</f>
        <v>1</v>
      </c>
      <c r="Y22" s="80">
        <f t="shared" si="0"/>
        <v>22820900</v>
      </c>
      <c r="Z22" s="88">
        <f>IFERROR(X22/E22,0)</f>
        <v>0</v>
      </c>
      <c r="AA22" s="89">
        <f>IFERROR(Y22/F22,0)</f>
        <v>0</v>
      </c>
      <c r="AB22" s="90"/>
      <c r="AC22" s="38"/>
    </row>
    <row r="23" spans="1:35" s="74" customFormat="1" ht="44.25" customHeight="1" x14ac:dyDescent="0.25">
      <c r="A23" s="58"/>
      <c r="B23" s="59"/>
      <c r="C23" s="60" t="s">
        <v>182</v>
      </c>
      <c r="D23" s="97"/>
      <c r="E23" s="61"/>
      <c r="F23" s="62">
        <f>0+F24</f>
        <v>0</v>
      </c>
      <c r="G23" s="61"/>
      <c r="H23" s="62">
        <f>0+H24</f>
        <v>0</v>
      </c>
      <c r="I23" s="63"/>
      <c r="J23" s="64"/>
      <c r="K23" s="65">
        <f>0+K24+K25</f>
        <v>151578000</v>
      </c>
      <c r="L23" s="66"/>
      <c r="M23" s="65">
        <f>0+M24+M25</f>
        <v>0</v>
      </c>
      <c r="N23" s="66"/>
      <c r="O23" s="65">
        <f>0+O24+O25</f>
        <v>0</v>
      </c>
      <c r="P23" s="66"/>
      <c r="Q23" s="65">
        <f>0+Q24+Q25</f>
        <v>84790007</v>
      </c>
      <c r="R23" s="66"/>
      <c r="S23" s="65">
        <f>0+S24+S25</f>
        <v>65654000</v>
      </c>
      <c r="T23" s="65"/>
      <c r="U23" s="65">
        <f>0+U24+U25</f>
        <v>150444007</v>
      </c>
      <c r="V23" s="67"/>
      <c r="W23" s="67">
        <f t="shared" si="2"/>
        <v>0.99251874942273943</v>
      </c>
      <c r="X23" s="68"/>
      <c r="Y23" s="65">
        <f t="shared" si="0"/>
        <v>150444007</v>
      </c>
      <c r="Z23" s="69"/>
      <c r="AA23" s="65">
        <f>0+AA24+AA25</f>
        <v>0</v>
      </c>
      <c r="AB23" s="70"/>
      <c r="AC23" s="71"/>
      <c r="AD23" s="72"/>
      <c r="AE23" s="72"/>
      <c r="AF23" s="73"/>
      <c r="AG23" s="73"/>
      <c r="AH23" s="73"/>
      <c r="AI23" s="72"/>
    </row>
    <row r="24" spans="1:35" ht="78" customHeight="1" x14ac:dyDescent="0.25">
      <c r="A24" s="75"/>
      <c r="B24" s="76"/>
      <c r="C24" s="77" t="s">
        <v>183</v>
      </c>
      <c r="D24" s="95" t="s">
        <v>184</v>
      </c>
      <c r="E24" s="79">
        <v>0</v>
      </c>
      <c r="F24" s="80">
        <v>0</v>
      </c>
      <c r="G24" s="79">
        <v>0</v>
      </c>
      <c r="H24" s="81">
        <v>0</v>
      </c>
      <c r="I24" s="82">
        <v>15</v>
      </c>
      <c r="J24" s="83" t="s">
        <v>185</v>
      </c>
      <c r="K24" s="80">
        <v>98578000</v>
      </c>
      <c r="L24" s="85">
        <v>0</v>
      </c>
      <c r="M24" s="85">
        <v>0</v>
      </c>
      <c r="N24" s="85"/>
      <c r="O24" s="85">
        <v>0</v>
      </c>
      <c r="P24" s="86">
        <v>5</v>
      </c>
      <c r="Q24" s="86">
        <v>76790007</v>
      </c>
      <c r="R24" s="86">
        <v>9</v>
      </c>
      <c r="S24" s="86">
        <v>20680000</v>
      </c>
      <c r="T24" s="80">
        <f>SUM(L24,N24,P24,R24)</f>
        <v>14</v>
      </c>
      <c r="U24" s="80">
        <f>SUM(M24,O24,Q24,S24)</f>
        <v>97470007</v>
      </c>
      <c r="V24" s="87">
        <f>T24/I24*100%</f>
        <v>0.93333333333333335</v>
      </c>
      <c r="W24" s="87">
        <f t="shared" si="2"/>
        <v>0.9887602406216397</v>
      </c>
      <c r="X24" s="80">
        <f>T24+G24</f>
        <v>14</v>
      </c>
      <c r="Y24" s="80">
        <f t="shared" si="0"/>
        <v>97470007</v>
      </c>
      <c r="Z24" s="88">
        <f>IFERROR(X24/E24,0)</f>
        <v>0</v>
      </c>
      <c r="AA24" s="89">
        <f>IFERROR(Y24/F24,0)</f>
        <v>0</v>
      </c>
      <c r="AB24" s="90"/>
      <c r="AC24" s="38"/>
    </row>
    <row r="25" spans="1:35" ht="98.25" customHeight="1" x14ac:dyDescent="0.25">
      <c r="A25" s="75"/>
      <c r="B25" s="76"/>
      <c r="C25" s="95" t="s">
        <v>186</v>
      </c>
      <c r="D25" s="98" t="s">
        <v>187</v>
      </c>
      <c r="E25" s="79">
        <v>0</v>
      </c>
      <c r="F25" s="80">
        <v>0</v>
      </c>
      <c r="G25" s="79">
        <v>0</v>
      </c>
      <c r="H25" s="81">
        <v>0</v>
      </c>
      <c r="I25" s="82">
        <v>15</v>
      </c>
      <c r="J25" s="83" t="s">
        <v>185</v>
      </c>
      <c r="K25" s="80">
        <v>53000000</v>
      </c>
      <c r="L25" s="85"/>
      <c r="M25" s="85">
        <v>0</v>
      </c>
      <c r="N25" s="85">
        <v>0</v>
      </c>
      <c r="O25" s="85">
        <v>0</v>
      </c>
      <c r="P25" s="86">
        <v>5</v>
      </c>
      <c r="Q25" s="86">
        <v>8000000</v>
      </c>
      <c r="R25" s="86">
        <v>10</v>
      </c>
      <c r="S25" s="86">
        <v>44974000</v>
      </c>
      <c r="T25" s="80">
        <f>SUM(L25,N25,P25,R25)</f>
        <v>15</v>
      </c>
      <c r="U25" s="80">
        <f>SUM(M25,O25,Q25,S25)</f>
        <v>52974000</v>
      </c>
      <c r="V25" s="87">
        <f>T25/I25*100%</f>
        <v>1</v>
      </c>
      <c r="W25" s="87">
        <f t="shared" si="2"/>
        <v>0.9995094339622641</v>
      </c>
      <c r="X25" s="80">
        <f>T25+G25</f>
        <v>15</v>
      </c>
      <c r="Y25" s="80">
        <f t="shared" si="0"/>
        <v>52974000</v>
      </c>
      <c r="Z25" s="88">
        <f>IFERROR(X25/E25,0)</f>
        <v>0</v>
      </c>
      <c r="AA25" s="89">
        <f>IFERROR(Y25/F25,0)</f>
        <v>0</v>
      </c>
      <c r="AB25" s="90"/>
      <c r="AC25" s="38"/>
    </row>
    <row r="26" spans="1:35" s="74" customFormat="1" ht="25.5" x14ac:dyDescent="0.25">
      <c r="A26" s="58"/>
      <c r="B26" s="59"/>
      <c r="C26" s="60" t="s">
        <v>42</v>
      </c>
      <c r="D26" s="97"/>
      <c r="E26" s="61"/>
      <c r="F26" s="62">
        <f>0+F27+F28+F29+F30+F31</f>
        <v>0</v>
      </c>
      <c r="G26" s="61"/>
      <c r="H26" s="62">
        <f>0+H27+H28+H29+H30+H31</f>
        <v>0</v>
      </c>
      <c r="I26" s="63"/>
      <c r="J26" s="64"/>
      <c r="K26" s="65">
        <f>0+K27+K28+K29+K30+K31</f>
        <v>351975399</v>
      </c>
      <c r="L26" s="66"/>
      <c r="M26" s="65">
        <f>0+M27+M28+M29+M30+M31</f>
        <v>32837914</v>
      </c>
      <c r="N26" s="66"/>
      <c r="O26" s="65">
        <f>0+O27+O28+O29+O30+O31</f>
        <v>132848822</v>
      </c>
      <c r="P26" s="66"/>
      <c r="Q26" s="65">
        <f>0+Q27+Q28+Q29+Q30+Q31</f>
        <v>55039314</v>
      </c>
      <c r="R26" s="66"/>
      <c r="S26" s="65">
        <f>0+S27+S28+S29+S30+S31</f>
        <v>96883490</v>
      </c>
      <c r="T26" s="65"/>
      <c r="U26" s="65">
        <f>0+U27+U28+U29+U30+U31</f>
        <v>284771626</v>
      </c>
      <c r="V26" s="67"/>
      <c r="W26" s="67">
        <f t="shared" si="2"/>
        <v>0.80906684617466684</v>
      </c>
      <c r="X26" s="68"/>
      <c r="Y26" s="65">
        <f t="shared" si="0"/>
        <v>284771626</v>
      </c>
      <c r="Z26" s="69"/>
      <c r="AA26" s="65">
        <f>0+AA27+AA28+AA29+AA30+AA31</f>
        <v>0</v>
      </c>
      <c r="AB26" s="70"/>
      <c r="AC26" s="71"/>
      <c r="AD26" s="72"/>
      <c r="AE26" s="72"/>
      <c r="AF26" s="73"/>
      <c r="AG26" s="73"/>
      <c r="AH26" s="73"/>
      <c r="AI26" s="72"/>
    </row>
    <row r="27" spans="1:35" ht="75" customHeight="1" x14ac:dyDescent="0.25">
      <c r="A27" s="75"/>
      <c r="B27" s="76"/>
      <c r="C27" s="77" t="s">
        <v>188</v>
      </c>
      <c r="D27" s="95" t="s">
        <v>189</v>
      </c>
      <c r="E27" s="79">
        <v>0</v>
      </c>
      <c r="F27" s="80">
        <v>0</v>
      </c>
      <c r="G27" s="79">
        <v>0</v>
      </c>
      <c r="H27" s="81">
        <v>0</v>
      </c>
      <c r="I27" s="82">
        <v>12</v>
      </c>
      <c r="J27" s="83" t="s">
        <v>174</v>
      </c>
      <c r="K27" s="80">
        <v>9250400</v>
      </c>
      <c r="L27" s="81">
        <v>0</v>
      </c>
      <c r="M27" s="81">
        <v>0</v>
      </c>
      <c r="N27" s="85">
        <v>6</v>
      </c>
      <c r="O27" s="85">
        <v>2915500</v>
      </c>
      <c r="P27" s="86">
        <v>3</v>
      </c>
      <c r="Q27" s="86">
        <v>488000</v>
      </c>
      <c r="R27" s="86">
        <v>1</v>
      </c>
      <c r="S27" s="86">
        <v>3043600</v>
      </c>
      <c r="T27" s="80">
        <f>N27+P27+R27</f>
        <v>10</v>
      </c>
      <c r="U27" s="80">
        <f>SUM(O27,Q27,S27)</f>
        <v>6447100</v>
      </c>
      <c r="V27" s="87">
        <f>T27/I27*100%</f>
        <v>0.83333333333333337</v>
      </c>
      <c r="W27" s="87">
        <f t="shared" si="2"/>
        <v>0.69695364524777303</v>
      </c>
      <c r="X27" s="80">
        <f>T27+G27</f>
        <v>10</v>
      </c>
      <c r="Y27" s="80">
        <f t="shared" si="0"/>
        <v>6447100</v>
      </c>
      <c r="Z27" s="88">
        <f t="shared" ref="Z27:AA31" si="8">IFERROR(X27/E27,0)</f>
        <v>0</v>
      </c>
      <c r="AA27" s="89">
        <f t="shared" si="8"/>
        <v>0</v>
      </c>
      <c r="AB27" s="90"/>
      <c r="AC27" s="38"/>
    </row>
    <row r="28" spans="1:35" ht="69" customHeight="1" x14ac:dyDescent="0.25">
      <c r="A28" s="75"/>
      <c r="B28" s="76"/>
      <c r="C28" s="77" t="s">
        <v>190</v>
      </c>
      <c r="D28" s="96" t="s">
        <v>191</v>
      </c>
      <c r="E28" s="79">
        <v>0</v>
      </c>
      <c r="F28" s="80">
        <v>0</v>
      </c>
      <c r="G28" s="79">
        <v>0</v>
      </c>
      <c r="H28" s="81">
        <v>0</v>
      </c>
      <c r="I28" s="82">
        <v>12</v>
      </c>
      <c r="J28" s="83" t="s">
        <v>174</v>
      </c>
      <c r="K28" s="80">
        <v>66729400</v>
      </c>
      <c r="L28" s="81">
        <v>0</v>
      </c>
      <c r="M28" s="81">
        <v>0</v>
      </c>
      <c r="N28" s="85">
        <v>6</v>
      </c>
      <c r="O28" s="85">
        <v>19003896</v>
      </c>
      <c r="P28" s="86">
        <v>3</v>
      </c>
      <c r="Q28" s="86">
        <v>22179800</v>
      </c>
      <c r="R28" s="86">
        <v>1</v>
      </c>
      <c r="S28" s="86">
        <v>8743400</v>
      </c>
      <c r="T28" s="80">
        <f>N28+P28+R28</f>
        <v>10</v>
      </c>
      <c r="U28" s="80">
        <f>SUM(O28,Q28,S28)</f>
        <v>49927096</v>
      </c>
      <c r="V28" s="87">
        <f>T28/I28*100%</f>
        <v>0.83333333333333337</v>
      </c>
      <c r="W28" s="87">
        <f t="shared" si="2"/>
        <v>0.74820238155895302</v>
      </c>
      <c r="X28" s="80">
        <f>T28+G28</f>
        <v>10</v>
      </c>
      <c r="Y28" s="80">
        <f t="shared" si="0"/>
        <v>49927096</v>
      </c>
      <c r="Z28" s="88">
        <f t="shared" si="8"/>
        <v>0</v>
      </c>
      <c r="AA28" s="89">
        <f t="shared" si="8"/>
        <v>0</v>
      </c>
      <c r="AB28" s="90"/>
      <c r="AC28" s="38"/>
    </row>
    <row r="29" spans="1:35" ht="90.75" customHeight="1" x14ac:dyDescent="0.25">
      <c r="A29" s="75"/>
      <c r="B29" s="76"/>
      <c r="C29" s="77" t="s">
        <v>48</v>
      </c>
      <c r="D29" s="95" t="s">
        <v>192</v>
      </c>
      <c r="E29" s="79">
        <v>0</v>
      </c>
      <c r="F29" s="80">
        <v>0</v>
      </c>
      <c r="G29" s="79">
        <v>0</v>
      </c>
      <c r="H29" s="81">
        <v>0</v>
      </c>
      <c r="I29" s="82">
        <v>12</v>
      </c>
      <c r="J29" s="83" t="s">
        <v>174</v>
      </c>
      <c r="K29" s="80">
        <v>51548900</v>
      </c>
      <c r="L29" s="85">
        <v>3</v>
      </c>
      <c r="M29" s="85">
        <v>2175000</v>
      </c>
      <c r="N29" s="85">
        <v>3</v>
      </c>
      <c r="O29" s="85">
        <v>20520300</v>
      </c>
      <c r="P29" s="86">
        <v>3</v>
      </c>
      <c r="Q29" s="86">
        <v>6750000</v>
      </c>
      <c r="R29" s="86">
        <v>1</v>
      </c>
      <c r="S29" s="86">
        <v>14164400</v>
      </c>
      <c r="T29" s="80">
        <f>L29+N29+P29+R29</f>
        <v>10</v>
      </c>
      <c r="U29" s="80">
        <f>SUM(O29,Q29,S29)</f>
        <v>41434700</v>
      </c>
      <c r="V29" s="87">
        <f>T29/I29*100%</f>
        <v>0.83333333333333337</v>
      </c>
      <c r="W29" s="87">
        <f t="shared" si="2"/>
        <v>0.80379406738068127</v>
      </c>
      <c r="X29" s="80">
        <f>T29+G29</f>
        <v>10</v>
      </c>
      <c r="Y29" s="80">
        <f t="shared" si="0"/>
        <v>41434700</v>
      </c>
      <c r="Z29" s="88">
        <f t="shared" si="8"/>
        <v>0</v>
      </c>
      <c r="AA29" s="89">
        <f t="shared" si="8"/>
        <v>0</v>
      </c>
      <c r="AB29" s="90"/>
      <c r="AC29" s="38"/>
    </row>
    <row r="30" spans="1:35" ht="84.75" customHeight="1" x14ac:dyDescent="0.25">
      <c r="A30" s="75"/>
      <c r="B30" s="76"/>
      <c r="C30" s="77" t="s">
        <v>193</v>
      </c>
      <c r="D30" s="96" t="s">
        <v>194</v>
      </c>
      <c r="E30" s="79">
        <v>0</v>
      </c>
      <c r="F30" s="80">
        <v>0</v>
      </c>
      <c r="G30" s="79">
        <v>0</v>
      </c>
      <c r="H30" s="81">
        <v>0</v>
      </c>
      <c r="I30" s="82">
        <v>12</v>
      </c>
      <c r="J30" s="83" t="s">
        <v>174</v>
      </c>
      <c r="K30" s="80">
        <v>22437200</v>
      </c>
      <c r="L30" s="81">
        <v>0</v>
      </c>
      <c r="M30" s="81">
        <v>0</v>
      </c>
      <c r="N30" s="85">
        <v>6</v>
      </c>
      <c r="O30" s="85">
        <v>7790200</v>
      </c>
      <c r="P30" s="86">
        <v>3</v>
      </c>
      <c r="Q30" s="86">
        <v>4124600</v>
      </c>
      <c r="R30" s="86">
        <v>1</v>
      </c>
      <c r="S30" s="86">
        <v>5517800</v>
      </c>
      <c r="T30" s="80">
        <f>L30+N30+P30+R30</f>
        <v>10</v>
      </c>
      <c r="U30" s="80">
        <f>SUM(O30,Q30,S30)</f>
        <v>17432600</v>
      </c>
      <c r="V30" s="87">
        <f>T30/I30*100%</f>
        <v>0.83333333333333337</v>
      </c>
      <c r="W30" s="87">
        <f t="shared" si="2"/>
        <v>0.77695077817196445</v>
      </c>
      <c r="X30" s="80">
        <f>T30+G30</f>
        <v>10</v>
      </c>
      <c r="Y30" s="80">
        <f t="shared" si="0"/>
        <v>17432600</v>
      </c>
      <c r="Z30" s="88">
        <f t="shared" si="8"/>
        <v>0</v>
      </c>
      <c r="AA30" s="89">
        <f t="shared" si="8"/>
        <v>0</v>
      </c>
      <c r="AB30" s="90"/>
      <c r="AC30" s="38"/>
    </row>
    <row r="31" spans="1:35" ht="63.75" customHeight="1" x14ac:dyDescent="0.25">
      <c r="A31" s="75"/>
      <c r="B31" s="76"/>
      <c r="C31" s="77" t="s">
        <v>195</v>
      </c>
      <c r="D31" s="95" t="s">
        <v>196</v>
      </c>
      <c r="E31" s="79">
        <v>0</v>
      </c>
      <c r="F31" s="80">
        <v>0</v>
      </c>
      <c r="G31" s="79">
        <v>0</v>
      </c>
      <c r="H31" s="81">
        <v>0</v>
      </c>
      <c r="I31" s="82">
        <v>12</v>
      </c>
      <c r="J31" s="83" t="s">
        <v>174</v>
      </c>
      <c r="K31" s="80">
        <v>202009499</v>
      </c>
      <c r="L31" s="85">
        <v>3</v>
      </c>
      <c r="M31" s="85">
        <v>30662914</v>
      </c>
      <c r="N31" s="85">
        <v>3</v>
      </c>
      <c r="O31" s="85">
        <v>82618926</v>
      </c>
      <c r="P31" s="86">
        <v>3</v>
      </c>
      <c r="Q31" s="86">
        <v>21496914</v>
      </c>
      <c r="R31" s="86">
        <v>1</v>
      </c>
      <c r="S31" s="86">
        <v>65414290</v>
      </c>
      <c r="T31" s="80">
        <f>L31+N31+P31+R31</f>
        <v>10</v>
      </c>
      <c r="U31" s="80">
        <f>SUM(O31,Q31,S31)</f>
        <v>169530130</v>
      </c>
      <c r="V31" s="87">
        <f>T31/I31*100%</f>
        <v>0.83333333333333337</v>
      </c>
      <c r="W31" s="87">
        <f t="shared" si="2"/>
        <v>0.83921860525974568</v>
      </c>
      <c r="X31" s="80">
        <f>T31+G31</f>
        <v>10</v>
      </c>
      <c r="Y31" s="80">
        <f t="shared" si="0"/>
        <v>169530130</v>
      </c>
      <c r="Z31" s="88">
        <f t="shared" si="8"/>
        <v>0</v>
      </c>
      <c r="AA31" s="89">
        <f t="shared" si="8"/>
        <v>0</v>
      </c>
      <c r="AB31" s="90"/>
      <c r="AC31" s="38"/>
    </row>
    <row r="32" spans="1:35" s="74" customFormat="1" ht="54.75" customHeight="1" x14ac:dyDescent="0.25">
      <c r="A32" s="58"/>
      <c r="B32" s="59"/>
      <c r="C32" s="60" t="s">
        <v>197</v>
      </c>
      <c r="D32" s="97"/>
      <c r="E32" s="61"/>
      <c r="F32" s="62" t="e">
        <f>0+F33+#REF!</f>
        <v>#REF!</v>
      </c>
      <c r="G32" s="61"/>
      <c r="H32" s="62">
        <v>0</v>
      </c>
      <c r="I32" s="63"/>
      <c r="J32" s="64"/>
      <c r="K32" s="65">
        <f>0+K33</f>
        <v>97110300</v>
      </c>
      <c r="L32" s="99"/>
      <c r="M32" s="65">
        <f>0+M33</f>
        <v>0</v>
      </c>
      <c r="N32" s="66"/>
      <c r="O32" s="65">
        <f>0+O33</f>
        <v>44100000</v>
      </c>
      <c r="P32" s="66"/>
      <c r="Q32" s="65">
        <f>0+Q33</f>
        <v>0</v>
      </c>
      <c r="R32" s="66"/>
      <c r="S32" s="65">
        <f>0+S33</f>
        <v>15000000</v>
      </c>
      <c r="T32" s="65"/>
      <c r="U32" s="65">
        <f>0+U33</f>
        <v>59100000</v>
      </c>
      <c r="V32" s="67"/>
      <c r="W32" s="67">
        <f t="shared" si="2"/>
        <v>0.60858631885598125</v>
      </c>
      <c r="X32" s="68"/>
      <c r="Y32" s="65">
        <f>U32+H32</f>
        <v>59100000</v>
      </c>
      <c r="Z32" s="69"/>
      <c r="AA32" s="65">
        <f>0+AA33</f>
        <v>0</v>
      </c>
      <c r="AB32" s="70"/>
      <c r="AC32" s="71"/>
      <c r="AD32" s="72"/>
      <c r="AE32" s="72"/>
      <c r="AF32" s="73"/>
      <c r="AG32" s="73"/>
      <c r="AH32" s="73"/>
      <c r="AI32" s="72"/>
    </row>
    <row r="33" spans="1:35" ht="54.75" customHeight="1" x14ac:dyDescent="0.25">
      <c r="A33" s="75"/>
      <c r="B33" s="76"/>
      <c r="C33" s="95" t="s">
        <v>58</v>
      </c>
      <c r="D33" s="95" t="s">
        <v>198</v>
      </c>
      <c r="E33" s="79">
        <v>0</v>
      </c>
      <c r="F33" s="80">
        <v>0</v>
      </c>
      <c r="G33" s="79">
        <v>0</v>
      </c>
      <c r="H33" s="81">
        <v>0</v>
      </c>
      <c r="I33" s="82">
        <v>45</v>
      </c>
      <c r="J33" s="83" t="s">
        <v>199</v>
      </c>
      <c r="K33" s="80">
        <v>97110300</v>
      </c>
      <c r="L33" s="85"/>
      <c r="M33" s="85"/>
      <c r="N33" s="85">
        <v>45</v>
      </c>
      <c r="O33" s="85">
        <v>44100000</v>
      </c>
      <c r="P33" s="86">
        <v>0</v>
      </c>
      <c r="Q33" s="86">
        <v>0</v>
      </c>
      <c r="R33" s="86">
        <v>0</v>
      </c>
      <c r="S33" s="86">
        <v>15000000</v>
      </c>
      <c r="T33" s="80">
        <f>SUM(L33,N33,P33,R33)</f>
        <v>45</v>
      </c>
      <c r="U33" s="80">
        <f>SUM(O33,Q33,S33)</f>
        <v>59100000</v>
      </c>
      <c r="V33" s="87">
        <f>T33/I33*100%</f>
        <v>1</v>
      </c>
      <c r="W33" s="87">
        <f t="shared" si="2"/>
        <v>0.60858631885598125</v>
      </c>
      <c r="X33" s="80">
        <f>T33+G33</f>
        <v>45</v>
      </c>
      <c r="Y33" s="80">
        <f t="shared" si="0"/>
        <v>59100000</v>
      </c>
      <c r="Z33" s="88">
        <f>IFERROR(X33/E33,0)</f>
        <v>0</v>
      </c>
      <c r="AA33" s="89">
        <f>IFERROR(Y33/F33,0)</f>
        <v>0</v>
      </c>
      <c r="AB33" s="90"/>
      <c r="AC33" s="38"/>
    </row>
    <row r="34" spans="1:35" s="74" customFormat="1" ht="52.5" customHeight="1" x14ac:dyDescent="0.25">
      <c r="A34" s="58"/>
      <c r="B34" s="59"/>
      <c r="C34" s="60" t="s">
        <v>62</v>
      </c>
      <c r="D34" s="97"/>
      <c r="E34" s="61"/>
      <c r="F34" s="62">
        <f>0+F35+F36+F37</f>
        <v>0</v>
      </c>
      <c r="G34" s="61"/>
      <c r="H34" s="62">
        <f>0+H35+H36+H37</f>
        <v>0</v>
      </c>
      <c r="I34" s="63"/>
      <c r="J34" s="64"/>
      <c r="K34" s="65">
        <f>0+K35+K36+K37</f>
        <v>520175000</v>
      </c>
      <c r="L34" s="99"/>
      <c r="M34" s="65">
        <f>0+M35+M36+M37</f>
        <v>96445126</v>
      </c>
      <c r="N34" s="66"/>
      <c r="O34" s="65">
        <f>0+O35+O36+O37</f>
        <v>228109330</v>
      </c>
      <c r="P34" s="66"/>
      <c r="Q34" s="65">
        <f>0+Q35+Q36+Q37</f>
        <v>128530467</v>
      </c>
      <c r="R34" s="66"/>
      <c r="S34" s="65">
        <f>0+S35+S36+S37</f>
        <v>68105005</v>
      </c>
      <c r="T34" s="65"/>
      <c r="U34" s="65">
        <f>0+U35+U36+U37</f>
        <v>424744802</v>
      </c>
      <c r="V34" s="67"/>
      <c r="W34" s="67">
        <f t="shared" si="2"/>
        <v>0.81654212909117119</v>
      </c>
      <c r="X34" s="68"/>
      <c r="Y34" s="65">
        <f t="shared" si="0"/>
        <v>424744802</v>
      </c>
      <c r="Z34" s="69"/>
      <c r="AA34" s="65">
        <f>0+AA35+AA36+AA37</f>
        <v>0</v>
      </c>
      <c r="AB34" s="70"/>
      <c r="AC34" s="71"/>
      <c r="AD34" s="72"/>
      <c r="AE34" s="72"/>
      <c r="AF34" s="73"/>
      <c r="AG34" s="73"/>
      <c r="AH34" s="73"/>
      <c r="AI34" s="72"/>
    </row>
    <row r="35" spans="1:35" ht="81" customHeight="1" x14ac:dyDescent="0.25">
      <c r="A35" s="75"/>
      <c r="B35" s="76"/>
      <c r="C35" s="77" t="s">
        <v>68</v>
      </c>
      <c r="D35" s="77" t="s">
        <v>200</v>
      </c>
      <c r="E35" s="79">
        <v>0</v>
      </c>
      <c r="F35" s="80">
        <v>0</v>
      </c>
      <c r="G35" s="79">
        <v>0</v>
      </c>
      <c r="H35" s="81">
        <v>0</v>
      </c>
      <c r="I35" s="82">
        <v>12</v>
      </c>
      <c r="J35" s="83" t="s">
        <v>174</v>
      </c>
      <c r="K35" s="80">
        <v>312800000</v>
      </c>
      <c r="L35" s="85">
        <v>3</v>
      </c>
      <c r="M35" s="85">
        <v>43700000</v>
      </c>
      <c r="N35" s="85">
        <v>3</v>
      </c>
      <c r="O35" s="85">
        <v>127600000</v>
      </c>
      <c r="P35" s="86">
        <v>3</v>
      </c>
      <c r="Q35" s="86">
        <v>73800000</v>
      </c>
      <c r="R35" s="86">
        <v>1</v>
      </c>
      <c r="S35" s="86">
        <v>49200000</v>
      </c>
      <c r="T35" s="80">
        <f>L35+N35+P35+R35</f>
        <v>10</v>
      </c>
      <c r="U35" s="80">
        <f>SUM(O35,Q35,S35)</f>
        <v>250600000</v>
      </c>
      <c r="V35" s="87">
        <f>T35/I35*100%</f>
        <v>0.83333333333333337</v>
      </c>
      <c r="W35" s="87">
        <f t="shared" si="2"/>
        <v>0.80115089514066495</v>
      </c>
      <c r="X35" s="80">
        <f>T35+G35</f>
        <v>10</v>
      </c>
      <c r="Y35" s="80">
        <f t="shared" si="0"/>
        <v>250600000</v>
      </c>
      <c r="Z35" s="88">
        <f t="shared" ref="Z35:AA37" si="9">IFERROR(X35/E35,0)</f>
        <v>0</v>
      </c>
      <c r="AA35" s="89">
        <f t="shared" si="9"/>
        <v>0</v>
      </c>
      <c r="AB35" s="90"/>
      <c r="AC35" s="38"/>
    </row>
    <row r="36" spans="1:35" ht="66.75" customHeight="1" x14ac:dyDescent="0.25">
      <c r="A36" s="75"/>
      <c r="B36" s="76"/>
      <c r="C36" s="77" t="s">
        <v>201</v>
      </c>
      <c r="D36" s="95" t="s">
        <v>202</v>
      </c>
      <c r="E36" s="79">
        <v>0</v>
      </c>
      <c r="F36" s="80">
        <v>0</v>
      </c>
      <c r="G36" s="79">
        <v>0</v>
      </c>
      <c r="H36" s="81">
        <v>0</v>
      </c>
      <c r="I36" s="82">
        <v>12</v>
      </c>
      <c r="J36" s="83" t="s">
        <v>174</v>
      </c>
      <c r="K36" s="80">
        <v>204450000</v>
      </c>
      <c r="L36" s="85">
        <v>3</v>
      </c>
      <c r="M36" s="85">
        <v>52745126</v>
      </c>
      <c r="N36" s="85">
        <v>3</v>
      </c>
      <c r="O36" s="85">
        <v>99339330</v>
      </c>
      <c r="P36" s="86">
        <v>3</v>
      </c>
      <c r="Q36" s="86">
        <v>53560467</v>
      </c>
      <c r="R36" s="86">
        <v>1</v>
      </c>
      <c r="S36" s="86">
        <v>18320005</v>
      </c>
      <c r="T36" s="80">
        <f>L36+N36+P36+R36</f>
        <v>10</v>
      </c>
      <c r="U36" s="80">
        <f>SUM(O36,Q36,S36)</f>
        <v>171219802</v>
      </c>
      <c r="V36" s="87">
        <f>T36/I36*100%</f>
        <v>0.83333333333333337</v>
      </c>
      <c r="W36" s="87">
        <f t="shared" si="2"/>
        <v>0.83746540474443631</v>
      </c>
      <c r="X36" s="80">
        <f>T36+G36</f>
        <v>10</v>
      </c>
      <c r="Y36" s="80">
        <f t="shared" si="0"/>
        <v>171219802</v>
      </c>
      <c r="Z36" s="88">
        <f t="shared" si="9"/>
        <v>0</v>
      </c>
      <c r="AA36" s="89">
        <f t="shared" si="9"/>
        <v>0</v>
      </c>
      <c r="AB36" s="90"/>
      <c r="AC36" s="38"/>
    </row>
    <row r="37" spans="1:35" ht="56.25" customHeight="1" x14ac:dyDescent="0.25">
      <c r="A37" s="75"/>
      <c r="B37" s="76"/>
      <c r="C37" s="95" t="s">
        <v>64</v>
      </c>
      <c r="D37" s="98" t="s">
        <v>203</v>
      </c>
      <c r="E37" s="79">
        <v>0</v>
      </c>
      <c r="F37" s="80">
        <v>0</v>
      </c>
      <c r="G37" s="79">
        <v>0</v>
      </c>
      <c r="H37" s="81">
        <v>0</v>
      </c>
      <c r="I37" s="82">
        <v>12</v>
      </c>
      <c r="J37" s="83" t="s">
        <v>174</v>
      </c>
      <c r="K37" s="80">
        <v>2925000</v>
      </c>
      <c r="L37" s="85">
        <v>0</v>
      </c>
      <c r="M37" s="85">
        <v>0</v>
      </c>
      <c r="N37" s="85">
        <v>6</v>
      </c>
      <c r="O37" s="85">
        <v>1170000</v>
      </c>
      <c r="P37" s="86">
        <v>3</v>
      </c>
      <c r="Q37" s="86">
        <v>1170000</v>
      </c>
      <c r="R37" s="86">
        <v>3</v>
      </c>
      <c r="S37" s="86">
        <v>585000</v>
      </c>
      <c r="T37" s="80">
        <f>L37+N37+P37+R37</f>
        <v>12</v>
      </c>
      <c r="U37" s="80">
        <f>SUM(O37,Q37,S37)</f>
        <v>2925000</v>
      </c>
      <c r="V37" s="87">
        <f>T37/I37*100%</f>
        <v>1</v>
      </c>
      <c r="W37" s="87">
        <f t="shared" si="2"/>
        <v>1</v>
      </c>
      <c r="X37" s="80">
        <f>T37+G37</f>
        <v>12</v>
      </c>
      <c r="Y37" s="80">
        <f t="shared" si="0"/>
        <v>2925000</v>
      </c>
      <c r="Z37" s="88">
        <f t="shared" si="9"/>
        <v>0</v>
      </c>
      <c r="AA37" s="89">
        <f t="shared" si="9"/>
        <v>0</v>
      </c>
      <c r="AB37" s="90"/>
      <c r="AC37" s="38"/>
    </row>
    <row r="38" spans="1:35" s="74" customFormat="1" ht="62.25" customHeight="1" x14ac:dyDescent="0.25">
      <c r="A38" s="58"/>
      <c r="B38" s="59"/>
      <c r="C38" s="60" t="s">
        <v>204</v>
      </c>
      <c r="D38" s="97"/>
      <c r="E38" s="61"/>
      <c r="F38" s="62">
        <f>0+F39+F40</f>
        <v>0</v>
      </c>
      <c r="G38" s="61"/>
      <c r="H38" s="62">
        <f>0+H39+H40</f>
        <v>0</v>
      </c>
      <c r="I38" s="63"/>
      <c r="J38" s="64"/>
      <c r="K38" s="65">
        <f>0+K39+K40+K41</f>
        <v>131950000</v>
      </c>
      <c r="L38" s="99"/>
      <c r="M38" s="65">
        <f>0+M39+M40+M41</f>
        <v>30841098</v>
      </c>
      <c r="N38" s="66"/>
      <c r="O38" s="65">
        <f>0+O39+O40+O41</f>
        <v>82553275</v>
      </c>
      <c r="P38" s="66"/>
      <c r="Q38" s="65">
        <f>0+Q39+Q40+Q41</f>
        <v>15150000</v>
      </c>
      <c r="R38" s="66"/>
      <c r="S38" s="65">
        <f>0+S39+S40+S41</f>
        <v>4200000</v>
      </c>
      <c r="T38" s="65"/>
      <c r="U38" s="65">
        <f>0+U39+U40+U41</f>
        <v>101903275</v>
      </c>
      <c r="V38" s="67"/>
      <c r="W38" s="67">
        <f t="shared" si="2"/>
        <v>0.77228704054566122</v>
      </c>
      <c r="X38" s="68"/>
      <c r="Y38" s="65">
        <f t="shared" si="0"/>
        <v>101903275</v>
      </c>
      <c r="Z38" s="69"/>
      <c r="AA38" s="65">
        <f>0+AA39+AA40+AA41</f>
        <v>0</v>
      </c>
      <c r="AB38" s="70"/>
      <c r="AC38" s="71"/>
      <c r="AD38" s="72"/>
      <c r="AE38" s="72"/>
      <c r="AF38" s="73"/>
      <c r="AG38" s="73"/>
      <c r="AH38" s="73"/>
      <c r="AI38" s="72"/>
    </row>
    <row r="39" spans="1:35" ht="88.5" customHeight="1" x14ac:dyDescent="0.25">
      <c r="A39" s="75"/>
      <c r="B39" s="76"/>
      <c r="C39" s="77" t="s">
        <v>205</v>
      </c>
      <c r="D39" s="77" t="s">
        <v>206</v>
      </c>
      <c r="E39" s="79">
        <v>0</v>
      </c>
      <c r="F39" s="80">
        <v>0</v>
      </c>
      <c r="G39" s="79">
        <v>0</v>
      </c>
      <c r="H39" s="81">
        <v>0</v>
      </c>
      <c r="I39" s="82">
        <v>12</v>
      </c>
      <c r="J39" s="83" t="s">
        <v>174</v>
      </c>
      <c r="K39" s="80">
        <v>94520000</v>
      </c>
      <c r="L39" s="81">
        <v>3</v>
      </c>
      <c r="M39" s="85">
        <v>12931098</v>
      </c>
      <c r="N39" s="85">
        <v>3</v>
      </c>
      <c r="O39" s="85">
        <v>63173275</v>
      </c>
      <c r="P39" s="86">
        <v>3</v>
      </c>
      <c r="Q39" s="86">
        <v>12600000</v>
      </c>
      <c r="R39" s="86">
        <v>1</v>
      </c>
      <c r="S39" s="86">
        <v>4200000</v>
      </c>
      <c r="T39" s="80">
        <f>L39+N39+P39+R39</f>
        <v>10</v>
      </c>
      <c r="U39" s="80">
        <f>SUM(O39,Q39,S39)</f>
        <v>79973275</v>
      </c>
      <c r="V39" s="87">
        <f>T39/I39*100%</f>
        <v>0.83333333333333337</v>
      </c>
      <c r="W39" s="87">
        <f t="shared" si="2"/>
        <v>0.8460989737621667</v>
      </c>
      <c r="X39" s="80">
        <f>T39+G39</f>
        <v>10</v>
      </c>
      <c r="Y39" s="80">
        <f t="shared" si="0"/>
        <v>79973275</v>
      </c>
      <c r="Z39" s="88">
        <f t="shared" ref="Z39:AA41" si="10">IFERROR(X39/E39,0)</f>
        <v>0</v>
      </c>
      <c r="AA39" s="89">
        <f t="shared" si="10"/>
        <v>0</v>
      </c>
      <c r="AB39" s="90"/>
      <c r="AC39" s="38"/>
    </row>
    <row r="40" spans="1:35" ht="63.75" customHeight="1" x14ac:dyDescent="0.25">
      <c r="A40" s="75"/>
      <c r="B40" s="76"/>
      <c r="C40" s="77" t="s">
        <v>74</v>
      </c>
      <c r="D40" s="77" t="s">
        <v>207</v>
      </c>
      <c r="E40" s="79">
        <v>0</v>
      </c>
      <c r="F40" s="80">
        <v>0</v>
      </c>
      <c r="G40" s="79">
        <v>0</v>
      </c>
      <c r="H40" s="81">
        <v>0</v>
      </c>
      <c r="I40" s="82">
        <v>12</v>
      </c>
      <c r="J40" s="83" t="s">
        <v>174</v>
      </c>
      <c r="K40" s="80">
        <v>27430000</v>
      </c>
      <c r="L40" s="81">
        <v>3</v>
      </c>
      <c r="M40" s="85">
        <v>17910000</v>
      </c>
      <c r="N40" s="85">
        <v>3</v>
      </c>
      <c r="O40" s="85">
        <v>19380000</v>
      </c>
      <c r="P40" s="86">
        <v>3</v>
      </c>
      <c r="Q40" s="86">
        <v>2550000</v>
      </c>
      <c r="R40" s="86">
        <v>1</v>
      </c>
      <c r="S40" s="86">
        <v>0</v>
      </c>
      <c r="T40" s="80">
        <f>L40+N40+P40+R40</f>
        <v>10</v>
      </c>
      <c r="U40" s="80">
        <f>SUM(O40,Q40,S40)</f>
        <v>21930000</v>
      </c>
      <c r="V40" s="87">
        <f>T40/I40*100%</f>
        <v>0.83333333333333337</v>
      </c>
      <c r="W40" s="87">
        <f t="shared" si="2"/>
        <v>0.79948960991615015</v>
      </c>
      <c r="X40" s="80">
        <f>T40+G40</f>
        <v>10</v>
      </c>
      <c r="Y40" s="80">
        <f t="shared" si="0"/>
        <v>21930000</v>
      </c>
      <c r="Z40" s="88">
        <f t="shared" si="10"/>
        <v>0</v>
      </c>
      <c r="AA40" s="89">
        <f t="shared" si="10"/>
        <v>0</v>
      </c>
      <c r="AB40" s="90"/>
      <c r="AC40" s="38"/>
    </row>
    <row r="41" spans="1:35" s="108" customFormat="1" ht="91.5" customHeight="1" x14ac:dyDescent="0.25">
      <c r="A41" s="100"/>
      <c r="B41" s="101"/>
      <c r="C41" s="102" t="s">
        <v>208</v>
      </c>
      <c r="D41" s="95" t="s">
        <v>209</v>
      </c>
      <c r="E41" s="79">
        <v>0</v>
      </c>
      <c r="F41" s="80">
        <v>0</v>
      </c>
      <c r="G41" s="79">
        <v>0</v>
      </c>
      <c r="H41" s="81">
        <v>0</v>
      </c>
      <c r="I41" s="82">
        <v>3</v>
      </c>
      <c r="J41" s="83" t="s">
        <v>210</v>
      </c>
      <c r="K41" s="81">
        <v>10000000</v>
      </c>
      <c r="L41" s="103" t="s">
        <v>162</v>
      </c>
      <c r="M41" s="103">
        <v>0</v>
      </c>
      <c r="N41" s="85"/>
      <c r="O41" s="85"/>
      <c r="P41" s="86">
        <v>0</v>
      </c>
      <c r="Q41" s="86">
        <v>0</v>
      </c>
      <c r="R41" s="86">
        <v>0</v>
      </c>
      <c r="S41" s="86">
        <v>0</v>
      </c>
      <c r="T41" s="80">
        <f t="shared" ref="T41:U41" si="11">SUM(L41,N41,P41,R41)</f>
        <v>0</v>
      </c>
      <c r="U41" s="80">
        <f t="shared" si="11"/>
        <v>0</v>
      </c>
      <c r="V41" s="87">
        <f>T41/I41*100%</f>
        <v>0</v>
      </c>
      <c r="W41" s="87">
        <f t="shared" si="2"/>
        <v>0</v>
      </c>
      <c r="X41" s="80">
        <f>T41+G41</f>
        <v>0</v>
      </c>
      <c r="Y41" s="80">
        <f t="shared" si="0"/>
        <v>0</v>
      </c>
      <c r="Z41" s="88">
        <f t="shared" si="10"/>
        <v>0</v>
      </c>
      <c r="AA41" s="89">
        <f t="shared" si="10"/>
        <v>0</v>
      </c>
      <c r="AB41" s="104"/>
      <c r="AC41" s="105"/>
      <c r="AD41" s="106"/>
      <c r="AE41" s="106"/>
      <c r="AF41" s="107"/>
      <c r="AG41" s="107"/>
      <c r="AH41" s="107"/>
      <c r="AI41" s="106"/>
    </row>
    <row r="42" spans="1:35" s="117" customFormat="1" ht="91.5" customHeight="1" x14ac:dyDescent="0.25">
      <c r="A42" s="109"/>
      <c r="B42" s="110"/>
      <c r="C42" s="111" t="s">
        <v>211</v>
      </c>
      <c r="D42" s="112"/>
      <c r="E42" s="61"/>
      <c r="F42" s="62"/>
      <c r="G42" s="61"/>
      <c r="H42" s="62"/>
      <c r="I42" s="63"/>
      <c r="J42" s="64"/>
      <c r="K42" s="65">
        <f>0+K43+K44+K45+K46+K47+K48+K49</f>
        <v>2434944752</v>
      </c>
      <c r="L42" s="65"/>
      <c r="M42" s="65">
        <f>0+M43+M44+M45+M46+M47+M48+M49</f>
        <v>101603200</v>
      </c>
      <c r="N42" s="66"/>
      <c r="O42" s="65">
        <f>0+O43+O44+O45+O46+O47+O48+O49</f>
        <v>688935272</v>
      </c>
      <c r="P42" s="66"/>
      <c r="Q42" s="65">
        <f>0+Q43+Q44+Q45+Q46+Q47+Q48+Q49</f>
        <v>596733052</v>
      </c>
      <c r="R42" s="66"/>
      <c r="S42" s="65">
        <f>0+S43+S44+S45+S46+S47+S48+S49</f>
        <v>372765315</v>
      </c>
      <c r="T42" s="113"/>
      <c r="U42" s="65">
        <f>0+U43+U44+U45+U46+U47+U48+U49</f>
        <v>1658433639</v>
      </c>
      <c r="V42" s="67"/>
      <c r="W42" s="67">
        <f t="shared" si="2"/>
        <v>0.68109703008160905</v>
      </c>
      <c r="X42" s="68"/>
      <c r="Y42" s="65">
        <f t="shared" si="0"/>
        <v>1658433639</v>
      </c>
      <c r="Z42" s="69"/>
      <c r="AA42" s="65">
        <f>0+AA43+AA44+AA45+AA46+AA47+AA48+AA49</f>
        <v>0</v>
      </c>
      <c r="AB42" s="70"/>
      <c r="AC42" s="114"/>
      <c r="AD42" s="115"/>
      <c r="AE42" s="115"/>
      <c r="AF42" s="116"/>
      <c r="AG42" s="116"/>
      <c r="AH42" s="116"/>
      <c r="AI42" s="115"/>
    </row>
    <row r="43" spans="1:35" s="108" customFormat="1" ht="91.5" customHeight="1" x14ac:dyDescent="0.25">
      <c r="A43" s="100"/>
      <c r="B43" s="101"/>
      <c r="C43" s="118" t="s">
        <v>212</v>
      </c>
      <c r="D43" s="98" t="s">
        <v>213</v>
      </c>
      <c r="E43" s="79">
        <v>0</v>
      </c>
      <c r="F43" s="80">
        <v>0</v>
      </c>
      <c r="G43" s="79">
        <v>0</v>
      </c>
      <c r="H43" s="81">
        <v>0</v>
      </c>
      <c r="I43" s="82">
        <v>4</v>
      </c>
      <c r="J43" s="83" t="s">
        <v>214</v>
      </c>
      <c r="K43" s="81">
        <v>308613045</v>
      </c>
      <c r="L43" s="81" t="s">
        <v>162</v>
      </c>
      <c r="M43" s="81">
        <v>45593200</v>
      </c>
      <c r="N43" s="85">
        <v>2</v>
      </c>
      <c r="O43" s="85">
        <v>86299000</v>
      </c>
      <c r="P43" s="86">
        <v>0</v>
      </c>
      <c r="Q43" s="86">
        <v>51387000</v>
      </c>
      <c r="R43" s="86">
        <v>0</v>
      </c>
      <c r="S43" s="86">
        <v>48600000</v>
      </c>
      <c r="T43" s="80">
        <f t="shared" ref="T43:T44" si="12">SUM(L43,N43,P43,R43)</f>
        <v>2</v>
      </c>
      <c r="U43" s="80">
        <f t="shared" ref="U43:U48" si="13">SUM(O43,Q43,S43)</f>
        <v>186286000</v>
      </c>
      <c r="V43" s="87">
        <f>T43/I43*100%</f>
        <v>0.5</v>
      </c>
      <c r="W43" s="87">
        <f t="shared" si="2"/>
        <v>0.6036232201396412</v>
      </c>
      <c r="X43" s="80">
        <f t="shared" ref="X43:X49" si="14">T43+G43</f>
        <v>2</v>
      </c>
      <c r="Y43" s="80">
        <f t="shared" si="0"/>
        <v>186286000</v>
      </c>
      <c r="Z43" s="88">
        <f t="shared" ref="Z43:AA49" si="15">IFERROR(X43/E43,0)</f>
        <v>0</v>
      </c>
      <c r="AA43" s="89">
        <f t="shared" si="15"/>
        <v>0</v>
      </c>
      <c r="AB43" s="104"/>
      <c r="AC43" s="105"/>
      <c r="AD43" s="106"/>
      <c r="AE43" s="106"/>
      <c r="AF43" s="107"/>
      <c r="AG43" s="107"/>
      <c r="AH43" s="107"/>
      <c r="AI43" s="106"/>
    </row>
    <row r="44" spans="1:35" s="108" customFormat="1" ht="91.5" customHeight="1" x14ac:dyDescent="0.25">
      <c r="A44" s="100"/>
      <c r="B44" s="101"/>
      <c r="C44" s="118" t="s">
        <v>82</v>
      </c>
      <c r="D44" s="98" t="s">
        <v>215</v>
      </c>
      <c r="E44" s="79">
        <v>0</v>
      </c>
      <c r="F44" s="80">
        <v>0</v>
      </c>
      <c r="G44" s="79">
        <v>0</v>
      </c>
      <c r="H44" s="81">
        <v>0</v>
      </c>
      <c r="I44" s="82">
        <v>2</v>
      </c>
      <c r="J44" s="83" t="s">
        <v>216</v>
      </c>
      <c r="K44" s="81">
        <v>414982380</v>
      </c>
      <c r="L44" s="81" t="s">
        <v>162</v>
      </c>
      <c r="M44" s="81">
        <v>37400000</v>
      </c>
      <c r="N44" s="85">
        <v>1</v>
      </c>
      <c r="O44" s="85">
        <v>109093073</v>
      </c>
      <c r="P44" s="86">
        <v>0</v>
      </c>
      <c r="Q44" s="86">
        <v>100864307</v>
      </c>
      <c r="R44" s="86">
        <v>0</v>
      </c>
      <c r="S44" s="86">
        <v>37400000</v>
      </c>
      <c r="T44" s="80">
        <f t="shared" si="12"/>
        <v>1</v>
      </c>
      <c r="U44" s="80">
        <f t="shared" si="13"/>
        <v>247357380</v>
      </c>
      <c r="V44" s="87">
        <f>T44/I44*100%</f>
        <v>0.5</v>
      </c>
      <c r="W44" s="87">
        <f t="shared" si="2"/>
        <v>0.59606718723816654</v>
      </c>
      <c r="X44" s="80">
        <f t="shared" si="14"/>
        <v>1</v>
      </c>
      <c r="Y44" s="80">
        <f t="shared" si="0"/>
        <v>247357380</v>
      </c>
      <c r="Z44" s="88">
        <f t="shared" si="15"/>
        <v>0</v>
      </c>
      <c r="AA44" s="89">
        <f t="shared" si="15"/>
        <v>0</v>
      </c>
      <c r="AB44" s="104"/>
      <c r="AC44" s="105"/>
      <c r="AD44" s="106"/>
      <c r="AE44" s="106"/>
      <c r="AF44" s="107"/>
      <c r="AG44" s="107"/>
      <c r="AH44" s="107"/>
      <c r="AI44" s="106"/>
    </row>
    <row r="45" spans="1:35" s="108" customFormat="1" ht="91.5" customHeight="1" x14ac:dyDescent="0.25">
      <c r="A45" s="100"/>
      <c r="B45" s="101"/>
      <c r="C45" s="118" t="s">
        <v>84</v>
      </c>
      <c r="D45" s="98" t="s">
        <v>217</v>
      </c>
      <c r="E45" s="79">
        <v>0</v>
      </c>
      <c r="F45" s="80">
        <v>0</v>
      </c>
      <c r="G45" s="79">
        <v>0</v>
      </c>
      <c r="H45" s="81">
        <v>0</v>
      </c>
      <c r="I45" s="119" t="s">
        <v>218</v>
      </c>
      <c r="J45" s="83" t="s">
        <v>219</v>
      </c>
      <c r="K45" s="81">
        <v>51339300</v>
      </c>
      <c r="L45" s="120" t="s">
        <v>162</v>
      </c>
      <c r="M45" s="81">
        <v>6000000</v>
      </c>
      <c r="N45" s="84" t="s">
        <v>220</v>
      </c>
      <c r="O45" s="85">
        <v>29944700</v>
      </c>
      <c r="P45" s="86">
        <v>0</v>
      </c>
      <c r="Q45" s="86">
        <v>9000000</v>
      </c>
      <c r="R45" s="86">
        <v>0</v>
      </c>
      <c r="S45" s="86">
        <v>6000000</v>
      </c>
      <c r="T45" s="80" t="str">
        <f>N45</f>
        <v>70%</v>
      </c>
      <c r="U45" s="80">
        <f t="shared" si="13"/>
        <v>44944700</v>
      </c>
      <c r="V45" s="87">
        <f>T45/I45*100%*0.8</f>
        <v>0.7</v>
      </c>
      <c r="W45" s="87">
        <f t="shared" si="2"/>
        <v>0.87544434770244239</v>
      </c>
      <c r="X45" s="122" t="str">
        <f>T45</f>
        <v>70%</v>
      </c>
      <c r="Y45" s="80">
        <f t="shared" si="0"/>
        <v>44944700</v>
      </c>
      <c r="Z45" s="88">
        <f t="shared" si="15"/>
        <v>0</v>
      </c>
      <c r="AA45" s="89">
        <f t="shared" si="15"/>
        <v>0</v>
      </c>
      <c r="AB45" s="104"/>
      <c r="AC45" s="105"/>
      <c r="AD45" s="106"/>
      <c r="AE45" s="106"/>
      <c r="AF45" s="107"/>
      <c r="AG45" s="107"/>
      <c r="AH45" s="107"/>
      <c r="AI45" s="106"/>
    </row>
    <row r="46" spans="1:35" s="108" customFormat="1" ht="91.5" customHeight="1" x14ac:dyDescent="0.25">
      <c r="A46" s="100"/>
      <c r="B46" s="101"/>
      <c r="C46" s="118" t="s">
        <v>222</v>
      </c>
      <c r="D46" s="98" t="s">
        <v>223</v>
      </c>
      <c r="E46" s="79">
        <v>0</v>
      </c>
      <c r="F46" s="80">
        <v>0</v>
      </c>
      <c r="G46" s="79">
        <v>0</v>
      </c>
      <c r="H46" s="81">
        <v>0</v>
      </c>
      <c r="I46" s="82">
        <v>4</v>
      </c>
      <c r="J46" s="83" t="s">
        <v>224</v>
      </c>
      <c r="K46" s="81">
        <v>1416780000</v>
      </c>
      <c r="L46" s="81" t="s">
        <v>162</v>
      </c>
      <c r="M46" s="81">
        <v>8590000</v>
      </c>
      <c r="N46" s="85">
        <v>2</v>
      </c>
      <c r="O46" s="85">
        <v>360570000</v>
      </c>
      <c r="P46" s="86">
        <v>0</v>
      </c>
      <c r="Q46" s="86">
        <v>383688449</v>
      </c>
      <c r="R46" s="86">
        <v>0</v>
      </c>
      <c r="S46" s="86">
        <v>223332365</v>
      </c>
      <c r="T46" s="80">
        <f t="shared" ref="T46:U49" si="16">SUM(L46,N46,P46,R46)</f>
        <v>2</v>
      </c>
      <c r="U46" s="80">
        <f t="shared" si="13"/>
        <v>967590814</v>
      </c>
      <c r="V46" s="87">
        <f>T46/I46*100%</f>
        <v>0.5</v>
      </c>
      <c r="W46" s="87">
        <f t="shared" si="2"/>
        <v>0.68295064441903475</v>
      </c>
      <c r="X46" s="80">
        <f t="shared" si="14"/>
        <v>2</v>
      </c>
      <c r="Y46" s="80">
        <f t="shared" si="0"/>
        <v>967590814</v>
      </c>
      <c r="Z46" s="88">
        <f t="shared" si="15"/>
        <v>0</v>
      </c>
      <c r="AA46" s="89">
        <f t="shared" si="15"/>
        <v>0</v>
      </c>
      <c r="AB46" s="104"/>
      <c r="AC46" s="105"/>
      <c r="AD46" s="106"/>
      <c r="AE46" s="106"/>
      <c r="AF46" s="107"/>
      <c r="AG46" s="107"/>
      <c r="AH46" s="107"/>
      <c r="AI46" s="106"/>
    </row>
    <row r="47" spans="1:35" s="108" customFormat="1" ht="91.5" customHeight="1" x14ac:dyDescent="0.25">
      <c r="A47" s="100"/>
      <c r="B47" s="101"/>
      <c r="C47" s="118" t="s">
        <v>225</v>
      </c>
      <c r="D47" s="98" t="s">
        <v>226</v>
      </c>
      <c r="E47" s="79">
        <v>0</v>
      </c>
      <c r="F47" s="80">
        <v>0</v>
      </c>
      <c r="G47" s="79">
        <v>0</v>
      </c>
      <c r="H47" s="81">
        <v>0</v>
      </c>
      <c r="I47" s="82">
        <v>7</v>
      </c>
      <c r="J47" s="83" t="s">
        <v>227</v>
      </c>
      <c r="K47" s="81">
        <v>47400000</v>
      </c>
      <c r="L47" s="81" t="s">
        <v>162</v>
      </c>
      <c r="M47" s="81">
        <v>4020000</v>
      </c>
      <c r="N47" s="85">
        <v>5</v>
      </c>
      <c r="O47" s="85">
        <v>39359900</v>
      </c>
      <c r="P47" s="86">
        <v>0</v>
      </c>
      <c r="Q47" s="86">
        <v>3600000</v>
      </c>
      <c r="R47" s="86">
        <v>0</v>
      </c>
      <c r="S47" s="86">
        <v>0</v>
      </c>
      <c r="T47" s="80">
        <f t="shared" si="16"/>
        <v>5</v>
      </c>
      <c r="U47" s="80">
        <f t="shared" si="13"/>
        <v>42959900</v>
      </c>
      <c r="V47" s="87">
        <f>T47/I47*100%</f>
        <v>0.7142857142857143</v>
      </c>
      <c r="W47" s="87">
        <f t="shared" si="2"/>
        <v>0.90632700421940926</v>
      </c>
      <c r="X47" s="80">
        <f t="shared" si="14"/>
        <v>5</v>
      </c>
      <c r="Y47" s="80">
        <f t="shared" si="0"/>
        <v>42959900</v>
      </c>
      <c r="Z47" s="88">
        <f t="shared" si="15"/>
        <v>0</v>
      </c>
      <c r="AA47" s="89">
        <f t="shared" si="15"/>
        <v>0</v>
      </c>
      <c r="AB47" s="104"/>
      <c r="AC47" s="105"/>
      <c r="AD47" s="106"/>
      <c r="AE47" s="106"/>
      <c r="AF47" s="107"/>
      <c r="AG47" s="107"/>
      <c r="AH47" s="107"/>
      <c r="AI47" s="106"/>
    </row>
    <row r="48" spans="1:35" s="108" customFormat="1" ht="91.5" customHeight="1" x14ac:dyDescent="0.25">
      <c r="A48" s="100"/>
      <c r="B48" s="101"/>
      <c r="C48" s="118" t="s">
        <v>228</v>
      </c>
      <c r="D48" s="98" t="s">
        <v>229</v>
      </c>
      <c r="E48" s="79">
        <v>0</v>
      </c>
      <c r="F48" s="80">
        <v>0</v>
      </c>
      <c r="G48" s="79">
        <v>0</v>
      </c>
      <c r="H48" s="81">
        <v>0</v>
      </c>
      <c r="I48" s="82">
        <v>6</v>
      </c>
      <c r="J48" s="83" t="s">
        <v>230</v>
      </c>
      <c r="K48" s="81">
        <v>120632423</v>
      </c>
      <c r="L48" s="81"/>
      <c r="M48" s="81"/>
      <c r="N48" s="85">
        <v>3</v>
      </c>
      <c r="O48" s="85">
        <v>15025600</v>
      </c>
      <c r="P48" s="86">
        <v>0</v>
      </c>
      <c r="Q48" s="86">
        <v>21985483</v>
      </c>
      <c r="R48" s="86">
        <v>1</v>
      </c>
      <c r="S48" s="86">
        <v>57432950</v>
      </c>
      <c r="T48" s="80">
        <f t="shared" si="16"/>
        <v>4</v>
      </c>
      <c r="U48" s="80">
        <f t="shared" si="13"/>
        <v>94444033</v>
      </c>
      <c r="V48" s="87">
        <f>T48/I48*100%</f>
        <v>0.66666666666666663</v>
      </c>
      <c r="W48" s="87">
        <f t="shared" si="2"/>
        <v>0.78290753556363535</v>
      </c>
      <c r="X48" s="80">
        <f t="shared" si="14"/>
        <v>4</v>
      </c>
      <c r="Y48" s="80">
        <f t="shared" si="0"/>
        <v>94444033</v>
      </c>
      <c r="Z48" s="88">
        <f t="shared" si="15"/>
        <v>0</v>
      </c>
      <c r="AA48" s="89">
        <f t="shared" si="15"/>
        <v>0</v>
      </c>
      <c r="AB48" s="104"/>
      <c r="AC48" s="105"/>
      <c r="AD48" s="106"/>
      <c r="AE48" s="106"/>
      <c r="AF48" s="107"/>
      <c r="AG48" s="107"/>
      <c r="AH48" s="107"/>
      <c r="AI48" s="106"/>
    </row>
    <row r="49" spans="1:35" s="108" customFormat="1" ht="91.5" customHeight="1" x14ac:dyDescent="0.25">
      <c r="A49" s="100"/>
      <c r="B49" s="101"/>
      <c r="C49" s="118" t="s">
        <v>231</v>
      </c>
      <c r="D49" s="98" t="s">
        <v>232</v>
      </c>
      <c r="E49" s="79">
        <v>0</v>
      </c>
      <c r="F49" s="80">
        <v>0</v>
      </c>
      <c r="G49" s="79">
        <v>0</v>
      </c>
      <c r="H49" s="81">
        <v>0</v>
      </c>
      <c r="I49" s="82">
        <v>2</v>
      </c>
      <c r="J49" s="83" t="s">
        <v>199</v>
      </c>
      <c r="K49" s="81">
        <v>75197604</v>
      </c>
      <c r="L49" s="81"/>
      <c r="M49" s="81"/>
      <c r="N49" s="85">
        <v>1</v>
      </c>
      <c r="O49" s="85">
        <v>48642999</v>
      </c>
      <c r="P49" s="86"/>
      <c r="Q49" s="86">
        <v>26207813</v>
      </c>
      <c r="R49" s="86">
        <v>1</v>
      </c>
      <c r="S49" s="86">
        <v>0</v>
      </c>
      <c r="T49" s="80">
        <f t="shared" si="16"/>
        <v>2</v>
      </c>
      <c r="U49" s="80">
        <f t="shared" si="16"/>
        <v>74850812</v>
      </c>
      <c r="V49" s="87">
        <f>T49/I49*100%</f>
        <v>1</v>
      </c>
      <c r="W49" s="87">
        <f t="shared" si="2"/>
        <v>0.99538825731734748</v>
      </c>
      <c r="X49" s="80">
        <f t="shared" si="14"/>
        <v>2</v>
      </c>
      <c r="Y49" s="80">
        <f t="shared" si="0"/>
        <v>74850812</v>
      </c>
      <c r="Z49" s="88">
        <f t="shared" si="15"/>
        <v>0</v>
      </c>
      <c r="AA49" s="89">
        <f t="shared" si="15"/>
        <v>0</v>
      </c>
      <c r="AB49" s="104"/>
      <c r="AC49" s="105"/>
      <c r="AD49" s="106"/>
      <c r="AE49" s="106"/>
      <c r="AF49" s="107"/>
      <c r="AG49" s="107"/>
      <c r="AH49" s="107"/>
      <c r="AI49" s="106"/>
    </row>
    <row r="50" spans="1:35" s="117" customFormat="1" ht="91.5" customHeight="1" x14ac:dyDescent="0.25">
      <c r="A50" s="109"/>
      <c r="B50" s="110"/>
      <c r="C50" s="111" t="s">
        <v>233</v>
      </c>
      <c r="D50" s="112"/>
      <c r="E50" s="61"/>
      <c r="F50" s="62"/>
      <c r="G50" s="61"/>
      <c r="H50" s="62"/>
      <c r="I50" s="63"/>
      <c r="J50" s="64"/>
      <c r="K50" s="65">
        <f>0+K51+K52</f>
        <v>2370260946</v>
      </c>
      <c r="L50" s="62"/>
      <c r="M50" s="65">
        <f>0+M51+M52</f>
        <v>22340000</v>
      </c>
      <c r="N50" s="66"/>
      <c r="O50" s="65">
        <f>0+O51+O52</f>
        <v>995681400</v>
      </c>
      <c r="P50" s="66"/>
      <c r="Q50" s="65">
        <f>0+Q51+Q52</f>
        <v>585758400</v>
      </c>
      <c r="R50" s="66"/>
      <c r="S50" s="65">
        <f>0+S51+S52</f>
        <v>205850000</v>
      </c>
      <c r="T50" s="62"/>
      <c r="U50" s="65">
        <f>0+U51+U52</f>
        <v>1787289800</v>
      </c>
      <c r="V50" s="67"/>
      <c r="W50" s="67">
        <f t="shared" si="2"/>
        <v>0.75404769378502012</v>
      </c>
      <c r="X50" s="68"/>
      <c r="Y50" s="65">
        <f t="shared" si="0"/>
        <v>1787289800</v>
      </c>
      <c r="Z50" s="69"/>
      <c r="AA50" s="65">
        <f>0+AA51+AA52</f>
        <v>0</v>
      </c>
      <c r="AB50" s="70"/>
      <c r="AC50" s="114"/>
      <c r="AD50" s="115"/>
      <c r="AE50" s="115"/>
      <c r="AF50" s="116"/>
      <c r="AG50" s="116"/>
      <c r="AH50" s="116"/>
      <c r="AI50" s="115"/>
    </row>
    <row r="51" spans="1:35" s="108" customFormat="1" ht="91.5" customHeight="1" x14ac:dyDescent="0.25">
      <c r="A51" s="100"/>
      <c r="B51" s="101"/>
      <c r="C51" s="118" t="s">
        <v>234</v>
      </c>
      <c r="D51" s="98" t="s">
        <v>235</v>
      </c>
      <c r="E51" s="79">
        <v>0</v>
      </c>
      <c r="F51" s="80">
        <v>0</v>
      </c>
      <c r="G51" s="79">
        <v>0</v>
      </c>
      <c r="H51" s="81">
        <v>0</v>
      </c>
      <c r="I51" s="82">
        <v>5</v>
      </c>
      <c r="J51" s="83" t="s">
        <v>236</v>
      </c>
      <c r="K51" s="81">
        <v>9523250</v>
      </c>
      <c r="L51" s="81" t="s">
        <v>162</v>
      </c>
      <c r="M51" s="81">
        <v>900000</v>
      </c>
      <c r="N51" s="85">
        <v>2</v>
      </c>
      <c r="O51" s="85">
        <v>3840000</v>
      </c>
      <c r="P51" s="86">
        <v>0</v>
      </c>
      <c r="Q51" s="86">
        <v>3990000</v>
      </c>
      <c r="R51" s="86">
        <v>0</v>
      </c>
      <c r="S51" s="86">
        <v>0</v>
      </c>
      <c r="T51" s="80">
        <f t="shared" ref="T51:T52" si="17">SUM(L51,N51,P51,R51)</f>
        <v>2</v>
      </c>
      <c r="U51" s="80">
        <f>SUM(O51,Q51,S51)</f>
        <v>7830000</v>
      </c>
      <c r="V51" s="87">
        <f>T51/I51*100%</f>
        <v>0.4</v>
      </c>
      <c r="W51" s="87">
        <f t="shared" si="2"/>
        <v>0.82219830415036887</v>
      </c>
      <c r="X51" s="80">
        <f>T51+G51</f>
        <v>2</v>
      </c>
      <c r="Y51" s="80">
        <f t="shared" si="0"/>
        <v>7830000</v>
      </c>
      <c r="Z51" s="88">
        <f>IFERROR(X51/E51,0)</f>
        <v>0</v>
      </c>
      <c r="AA51" s="89">
        <f>IFERROR(Y51/F51,0)</f>
        <v>0</v>
      </c>
      <c r="AB51" s="104"/>
      <c r="AC51" s="105"/>
      <c r="AD51" s="106"/>
      <c r="AE51" s="106"/>
      <c r="AF51" s="107"/>
      <c r="AG51" s="107"/>
      <c r="AH51" s="107"/>
      <c r="AI51" s="106"/>
    </row>
    <row r="52" spans="1:35" s="108" customFormat="1" ht="91.5" customHeight="1" x14ac:dyDescent="0.25">
      <c r="A52" s="100"/>
      <c r="B52" s="101"/>
      <c r="C52" s="118" t="s">
        <v>237</v>
      </c>
      <c r="D52" s="98" t="s">
        <v>238</v>
      </c>
      <c r="E52" s="79">
        <v>0</v>
      </c>
      <c r="F52" s="80">
        <v>0</v>
      </c>
      <c r="G52" s="79">
        <v>0</v>
      </c>
      <c r="H52" s="81">
        <v>0</v>
      </c>
      <c r="I52" s="82">
        <v>90</v>
      </c>
      <c r="J52" s="83" t="s">
        <v>239</v>
      </c>
      <c r="K52" s="81">
        <v>2360737696</v>
      </c>
      <c r="L52" s="81" t="s">
        <v>162</v>
      </c>
      <c r="M52" s="81">
        <v>21440000</v>
      </c>
      <c r="N52" s="85">
        <v>90</v>
      </c>
      <c r="O52" s="85">
        <v>991841400</v>
      </c>
      <c r="P52" s="86">
        <v>0</v>
      </c>
      <c r="Q52" s="86">
        <v>581768400</v>
      </c>
      <c r="R52" s="86">
        <v>0</v>
      </c>
      <c r="S52" s="86">
        <v>205850000</v>
      </c>
      <c r="T52" s="80">
        <f t="shared" si="17"/>
        <v>90</v>
      </c>
      <c r="U52" s="80">
        <f>SUM(O52,Q52,S52)</f>
        <v>1779459800</v>
      </c>
      <c r="V52" s="87">
        <f>T52/I52*100%</f>
        <v>1</v>
      </c>
      <c r="W52" s="87">
        <f t="shared" si="2"/>
        <v>0.75377277323740421</v>
      </c>
      <c r="X52" s="80">
        <f>T52+G52</f>
        <v>90</v>
      </c>
      <c r="Y52" s="80">
        <f t="shared" si="0"/>
        <v>1779459800</v>
      </c>
      <c r="Z52" s="88">
        <f>IFERROR(X52/E52,0)</f>
        <v>0</v>
      </c>
      <c r="AA52" s="89">
        <f>IFERROR(Y52/F52,0)</f>
        <v>0</v>
      </c>
      <c r="AB52" s="104"/>
      <c r="AC52" s="105"/>
      <c r="AD52" s="106"/>
      <c r="AE52" s="106"/>
      <c r="AF52" s="107"/>
      <c r="AG52" s="107"/>
      <c r="AH52" s="107"/>
      <c r="AI52" s="106"/>
    </row>
    <row r="53" spans="1:35" s="117" customFormat="1" ht="91.5" customHeight="1" x14ac:dyDescent="0.25">
      <c r="A53" s="109"/>
      <c r="B53" s="110"/>
      <c r="C53" s="111" t="s">
        <v>240</v>
      </c>
      <c r="D53" s="112"/>
      <c r="E53" s="61"/>
      <c r="F53" s="62"/>
      <c r="G53" s="61"/>
      <c r="H53" s="62"/>
      <c r="I53" s="63"/>
      <c r="J53" s="64"/>
      <c r="K53" s="65">
        <f>0+K54+K55+K56+K57+K58+K59+K61+K60</f>
        <v>1140290715</v>
      </c>
      <c r="L53" s="65"/>
      <c r="M53" s="65">
        <f>0+M54+M55+M56+M57+M58+M59+M61</f>
        <v>72079500</v>
      </c>
      <c r="N53" s="66"/>
      <c r="O53" s="65">
        <f>0+O54+O55+O56+O57+O58+O59+O61</f>
        <v>394619500</v>
      </c>
      <c r="P53" s="66"/>
      <c r="Q53" s="65">
        <f>0+Q54+Q55+Q56+Q57+Q58+Q59+Q61</f>
        <v>141980400</v>
      </c>
      <c r="R53" s="66"/>
      <c r="S53" s="65">
        <f>0+S54+S55+S56+S57+S58+S59+S61+S60</f>
        <v>82619000</v>
      </c>
      <c r="T53" s="113"/>
      <c r="U53" s="65">
        <f>0+U54+U55+U56+U57+U58+U59+U61+U60</f>
        <v>619218900</v>
      </c>
      <c r="V53" s="67"/>
      <c r="W53" s="67">
        <f>U53/K53*100%</f>
        <v>0.54303599236094802</v>
      </c>
      <c r="X53" s="68"/>
      <c r="Y53" s="65">
        <f t="shared" si="0"/>
        <v>619218900</v>
      </c>
      <c r="Z53" s="69"/>
      <c r="AA53" s="65">
        <f>0+AA54+AA55+AA56+AA57+AA58+AA59+AA61</f>
        <v>0</v>
      </c>
      <c r="AB53" s="70"/>
      <c r="AC53" s="114"/>
      <c r="AD53" s="115"/>
      <c r="AE53" s="115"/>
      <c r="AF53" s="116"/>
      <c r="AG53" s="116"/>
      <c r="AH53" s="116"/>
      <c r="AI53" s="115"/>
    </row>
    <row r="54" spans="1:35" s="108" customFormat="1" ht="91.5" customHeight="1" x14ac:dyDescent="0.25">
      <c r="A54" s="100"/>
      <c r="B54" s="101"/>
      <c r="C54" s="118" t="s">
        <v>241</v>
      </c>
      <c r="D54" s="98" t="s">
        <v>242</v>
      </c>
      <c r="E54" s="79">
        <v>0</v>
      </c>
      <c r="F54" s="80">
        <v>0</v>
      </c>
      <c r="G54" s="79">
        <v>0</v>
      </c>
      <c r="H54" s="81">
        <v>0</v>
      </c>
      <c r="I54" s="82">
        <v>7</v>
      </c>
      <c r="J54" s="83" t="s">
        <v>243</v>
      </c>
      <c r="K54" s="81">
        <v>217010000</v>
      </c>
      <c r="L54" s="81" t="s">
        <v>162</v>
      </c>
      <c r="M54" s="81">
        <v>35860000</v>
      </c>
      <c r="N54" s="85">
        <v>4</v>
      </c>
      <c r="O54" s="85">
        <v>90640000</v>
      </c>
      <c r="P54" s="86">
        <v>0</v>
      </c>
      <c r="Q54" s="86">
        <v>57550000</v>
      </c>
      <c r="R54" s="86">
        <v>0</v>
      </c>
      <c r="S54" s="86">
        <v>34020000</v>
      </c>
      <c r="T54" s="80">
        <f t="shared" ref="T54:U61" si="18">SUM(L54,N54,P54,R54)</f>
        <v>4</v>
      </c>
      <c r="U54" s="80">
        <f>SUM(O54,Q54,S54)</f>
        <v>182210000</v>
      </c>
      <c r="V54" s="87">
        <f t="shared" ref="V54:V61" si="19">T54/I54*100%</f>
        <v>0.5714285714285714</v>
      </c>
      <c r="W54" s="87">
        <f t="shared" si="2"/>
        <v>0.8396387263259758</v>
      </c>
      <c r="X54" s="80">
        <f t="shared" ref="X54:X61" si="20">T54+G54</f>
        <v>4</v>
      </c>
      <c r="Y54" s="80">
        <f t="shared" si="0"/>
        <v>182210000</v>
      </c>
      <c r="Z54" s="88">
        <f t="shared" ref="Z54:AA61" si="21">IFERROR(X54/E54,0)</f>
        <v>0</v>
      </c>
      <c r="AA54" s="89">
        <f t="shared" si="21"/>
        <v>0</v>
      </c>
      <c r="AB54" s="104"/>
      <c r="AC54" s="105"/>
      <c r="AD54" s="106"/>
      <c r="AE54" s="106"/>
      <c r="AF54" s="107"/>
      <c r="AG54" s="107"/>
      <c r="AH54" s="107"/>
      <c r="AI54" s="106"/>
    </row>
    <row r="55" spans="1:35" s="108" customFormat="1" ht="91.5" customHeight="1" x14ac:dyDescent="0.25">
      <c r="A55" s="100"/>
      <c r="B55" s="101"/>
      <c r="C55" s="118" t="s">
        <v>244</v>
      </c>
      <c r="D55" s="98" t="s">
        <v>245</v>
      </c>
      <c r="E55" s="79">
        <v>0</v>
      </c>
      <c r="F55" s="80">
        <v>0</v>
      </c>
      <c r="G55" s="79">
        <v>0</v>
      </c>
      <c r="H55" s="81">
        <v>0</v>
      </c>
      <c r="I55" s="82">
        <v>1</v>
      </c>
      <c r="J55" s="83" t="s">
        <v>160</v>
      </c>
      <c r="K55" s="81">
        <v>224000000</v>
      </c>
      <c r="L55" s="81"/>
      <c r="M55" s="81"/>
      <c r="N55" s="85"/>
      <c r="O55" s="85"/>
      <c r="P55" s="86">
        <v>0</v>
      </c>
      <c r="Q55" s="86">
        <v>0</v>
      </c>
      <c r="R55" s="86">
        <v>0</v>
      </c>
      <c r="S55" s="86">
        <v>0</v>
      </c>
      <c r="T55" s="80">
        <f t="shared" si="18"/>
        <v>0</v>
      </c>
      <c r="U55" s="80">
        <f t="shared" si="18"/>
        <v>0</v>
      </c>
      <c r="V55" s="87">
        <f t="shared" si="19"/>
        <v>0</v>
      </c>
      <c r="W55" s="87">
        <f t="shared" si="2"/>
        <v>0</v>
      </c>
      <c r="X55" s="80">
        <f t="shared" si="20"/>
        <v>0</v>
      </c>
      <c r="Y55" s="80">
        <f t="shared" si="0"/>
        <v>0</v>
      </c>
      <c r="Z55" s="88">
        <f t="shared" si="21"/>
        <v>0</v>
      </c>
      <c r="AA55" s="89">
        <f t="shared" si="21"/>
        <v>0</v>
      </c>
      <c r="AB55" s="104"/>
      <c r="AC55" s="105"/>
      <c r="AD55" s="106"/>
      <c r="AE55" s="106"/>
      <c r="AF55" s="107"/>
      <c r="AG55" s="107"/>
      <c r="AH55" s="107"/>
      <c r="AI55" s="106"/>
    </row>
    <row r="56" spans="1:35" s="108" customFormat="1" ht="91.5" customHeight="1" x14ac:dyDescent="0.25">
      <c r="A56" s="100"/>
      <c r="B56" s="101"/>
      <c r="C56" s="118" t="s">
        <v>246</v>
      </c>
      <c r="D56" s="98" t="s">
        <v>247</v>
      </c>
      <c r="E56" s="79">
        <v>0</v>
      </c>
      <c r="F56" s="80">
        <v>0</v>
      </c>
      <c r="G56" s="79">
        <v>0</v>
      </c>
      <c r="H56" s="81">
        <v>0</v>
      </c>
      <c r="I56" s="82">
        <v>1</v>
      </c>
      <c r="J56" s="83" t="s">
        <v>248</v>
      </c>
      <c r="K56" s="81">
        <v>380705404</v>
      </c>
      <c r="L56" s="123" t="s">
        <v>162</v>
      </c>
      <c r="M56" s="81">
        <v>30219500</v>
      </c>
      <c r="N56" s="85">
        <v>1</v>
      </c>
      <c r="O56" s="85">
        <v>284719500</v>
      </c>
      <c r="P56" s="85">
        <v>0</v>
      </c>
      <c r="Q56" s="85">
        <v>56283800</v>
      </c>
      <c r="R56" s="86">
        <v>0</v>
      </c>
      <c r="S56" s="86">
        <v>14562000</v>
      </c>
      <c r="T56" s="80">
        <f t="shared" si="18"/>
        <v>1</v>
      </c>
      <c r="U56" s="80">
        <f>SUM(O56,Q56,S56)</f>
        <v>355565300</v>
      </c>
      <c r="V56" s="87">
        <f t="shared" si="19"/>
        <v>1</v>
      </c>
      <c r="W56" s="87">
        <f t="shared" si="2"/>
        <v>0.93396441517284057</v>
      </c>
      <c r="X56" s="80">
        <f t="shared" si="20"/>
        <v>1</v>
      </c>
      <c r="Y56" s="80">
        <f t="shared" si="0"/>
        <v>355565300</v>
      </c>
      <c r="Z56" s="88">
        <f t="shared" si="21"/>
        <v>0</v>
      </c>
      <c r="AA56" s="89">
        <f t="shared" si="21"/>
        <v>0</v>
      </c>
      <c r="AB56" s="104"/>
      <c r="AC56" s="105"/>
      <c r="AD56" s="106"/>
      <c r="AE56" s="106"/>
      <c r="AF56" s="107"/>
      <c r="AG56" s="107"/>
      <c r="AH56" s="107"/>
      <c r="AI56" s="106"/>
    </row>
    <row r="57" spans="1:35" s="108" customFormat="1" ht="91.5" customHeight="1" x14ac:dyDescent="0.25">
      <c r="A57" s="100"/>
      <c r="B57" s="101"/>
      <c r="C57" s="118" t="s">
        <v>249</v>
      </c>
      <c r="D57" s="98" t="s">
        <v>250</v>
      </c>
      <c r="E57" s="79">
        <v>0</v>
      </c>
      <c r="F57" s="80">
        <v>0</v>
      </c>
      <c r="G57" s="79">
        <v>0</v>
      </c>
      <c r="H57" s="81">
        <v>0</v>
      </c>
      <c r="I57" s="82">
        <v>1</v>
      </c>
      <c r="J57" s="83" t="s">
        <v>251</v>
      </c>
      <c r="K57" s="81">
        <v>36000000</v>
      </c>
      <c r="L57" s="123" t="s">
        <v>162</v>
      </c>
      <c r="M57" s="81">
        <v>6000000</v>
      </c>
      <c r="N57" s="85">
        <v>1</v>
      </c>
      <c r="O57" s="85">
        <v>18000000</v>
      </c>
      <c r="P57" s="85">
        <v>0</v>
      </c>
      <c r="Q57" s="85">
        <v>6000000</v>
      </c>
      <c r="R57" s="86">
        <v>0</v>
      </c>
      <c r="S57" s="86">
        <v>3000000</v>
      </c>
      <c r="T57" s="80">
        <f t="shared" si="18"/>
        <v>1</v>
      </c>
      <c r="U57" s="80">
        <f>SUM(O57,Q57,S57)</f>
        <v>27000000</v>
      </c>
      <c r="V57" s="87">
        <f t="shared" si="19"/>
        <v>1</v>
      </c>
      <c r="W57" s="87">
        <f t="shared" si="2"/>
        <v>0.75</v>
      </c>
      <c r="X57" s="80">
        <f t="shared" si="20"/>
        <v>1</v>
      </c>
      <c r="Y57" s="80">
        <f t="shared" si="0"/>
        <v>27000000</v>
      </c>
      <c r="Z57" s="88">
        <f t="shared" si="21"/>
        <v>0</v>
      </c>
      <c r="AA57" s="89">
        <f t="shared" si="21"/>
        <v>0</v>
      </c>
      <c r="AB57" s="104"/>
      <c r="AC57" s="105"/>
      <c r="AD57" s="106"/>
      <c r="AE57" s="106"/>
      <c r="AF57" s="107"/>
      <c r="AG57" s="107"/>
      <c r="AH57" s="107"/>
      <c r="AI57" s="106"/>
    </row>
    <row r="58" spans="1:35" s="108" customFormat="1" ht="91.5" customHeight="1" x14ac:dyDescent="0.25">
      <c r="A58" s="100"/>
      <c r="B58" s="101"/>
      <c r="C58" s="118" t="s">
        <v>252</v>
      </c>
      <c r="D58" s="98" t="s">
        <v>253</v>
      </c>
      <c r="E58" s="79">
        <v>0</v>
      </c>
      <c r="F58" s="80">
        <v>0</v>
      </c>
      <c r="G58" s="79">
        <v>0</v>
      </c>
      <c r="H58" s="81">
        <v>0</v>
      </c>
      <c r="I58" s="82">
        <v>12</v>
      </c>
      <c r="J58" s="83" t="s">
        <v>174</v>
      </c>
      <c r="K58" s="81">
        <v>16624910</v>
      </c>
      <c r="L58" s="81"/>
      <c r="M58" s="81"/>
      <c r="N58" s="85">
        <v>0</v>
      </c>
      <c r="O58" s="85">
        <v>0</v>
      </c>
      <c r="P58" s="85">
        <v>7</v>
      </c>
      <c r="Q58" s="85">
        <v>8316600</v>
      </c>
      <c r="R58" s="86">
        <v>0</v>
      </c>
      <c r="S58" s="86">
        <v>0</v>
      </c>
      <c r="T58" s="80">
        <v>9</v>
      </c>
      <c r="U58" s="80">
        <f t="shared" si="18"/>
        <v>8316600</v>
      </c>
      <c r="V58" s="87">
        <f t="shared" si="19"/>
        <v>0.75</v>
      </c>
      <c r="W58" s="87">
        <f t="shared" si="2"/>
        <v>0.5002493246579981</v>
      </c>
      <c r="X58" s="80">
        <f t="shared" si="20"/>
        <v>9</v>
      </c>
      <c r="Y58" s="80">
        <f t="shared" si="0"/>
        <v>8316600</v>
      </c>
      <c r="Z58" s="88">
        <f t="shared" si="21"/>
        <v>0</v>
      </c>
      <c r="AA58" s="89">
        <f t="shared" si="21"/>
        <v>0</v>
      </c>
      <c r="AB58" s="104"/>
      <c r="AC58" s="105"/>
      <c r="AD58" s="106"/>
      <c r="AE58" s="106"/>
      <c r="AF58" s="107"/>
      <c r="AG58" s="107"/>
      <c r="AH58" s="107"/>
      <c r="AI58" s="106"/>
    </row>
    <row r="59" spans="1:35" s="108" customFormat="1" ht="91.5" customHeight="1" x14ac:dyDescent="0.25">
      <c r="A59" s="100"/>
      <c r="B59" s="101"/>
      <c r="C59" s="118" t="s">
        <v>254</v>
      </c>
      <c r="D59" s="98" t="s">
        <v>255</v>
      </c>
      <c r="E59" s="79">
        <v>0</v>
      </c>
      <c r="F59" s="80">
        <v>0</v>
      </c>
      <c r="G59" s="79">
        <v>0</v>
      </c>
      <c r="H59" s="81">
        <v>0</v>
      </c>
      <c r="I59" s="82">
        <v>2.83</v>
      </c>
      <c r="J59" s="83" t="s">
        <v>256</v>
      </c>
      <c r="K59" s="81">
        <v>16011000</v>
      </c>
      <c r="L59" s="81"/>
      <c r="M59" s="81"/>
      <c r="N59" s="85">
        <v>1</v>
      </c>
      <c r="O59" s="85">
        <v>1260000</v>
      </c>
      <c r="P59" s="85">
        <v>0</v>
      </c>
      <c r="Q59" s="85">
        <v>10080000</v>
      </c>
      <c r="R59" s="124">
        <v>1.83</v>
      </c>
      <c r="S59" s="86">
        <v>450000</v>
      </c>
      <c r="T59" s="122">
        <f>SUM(L59,N59,P59,R59)</f>
        <v>2.83</v>
      </c>
      <c r="U59" s="80">
        <f>SUM(O59,Q59,S59)</f>
        <v>11790000</v>
      </c>
      <c r="V59" s="87">
        <f t="shared" si="19"/>
        <v>1</v>
      </c>
      <c r="W59" s="87">
        <f t="shared" si="2"/>
        <v>0.73636874648679029</v>
      </c>
      <c r="X59" s="122">
        <f t="shared" si="20"/>
        <v>2.83</v>
      </c>
      <c r="Y59" s="80">
        <f t="shared" si="0"/>
        <v>11790000</v>
      </c>
      <c r="Z59" s="88">
        <f t="shared" si="21"/>
        <v>0</v>
      </c>
      <c r="AA59" s="89">
        <f t="shared" si="21"/>
        <v>0</v>
      </c>
      <c r="AB59" s="104"/>
      <c r="AC59" s="105"/>
      <c r="AD59" s="106"/>
      <c r="AE59" s="106"/>
      <c r="AF59" s="107"/>
      <c r="AG59" s="107"/>
      <c r="AH59" s="107"/>
      <c r="AI59" s="106"/>
    </row>
    <row r="60" spans="1:35" s="108" customFormat="1" ht="91.5" customHeight="1" x14ac:dyDescent="0.25">
      <c r="A60" s="100"/>
      <c r="B60" s="101"/>
      <c r="C60" s="118" t="s">
        <v>257</v>
      </c>
      <c r="D60" s="98" t="s">
        <v>258</v>
      </c>
      <c r="E60" s="79">
        <v>0</v>
      </c>
      <c r="F60" s="80">
        <v>0</v>
      </c>
      <c r="G60" s="79">
        <v>0</v>
      </c>
      <c r="H60" s="81">
        <v>0</v>
      </c>
      <c r="I60" s="125">
        <v>1</v>
      </c>
      <c r="J60" s="83" t="s">
        <v>160</v>
      </c>
      <c r="K60" s="81">
        <v>239159401</v>
      </c>
      <c r="L60" s="81">
        <v>0</v>
      </c>
      <c r="M60" s="81">
        <v>0</v>
      </c>
      <c r="N60" s="85">
        <v>0</v>
      </c>
      <c r="O60" s="85">
        <v>0</v>
      </c>
      <c r="P60" s="85">
        <v>0</v>
      </c>
      <c r="Q60" s="85">
        <v>0</v>
      </c>
      <c r="R60" s="86">
        <v>1</v>
      </c>
      <c r="S60" s="86">
        <v>30137000</v>
      </c>
      <c r="T60" s="80">
        <f>R60</f>
        <v>1</v>
      </c>
      <c r="U60" s="80">
        <f>SUM(O60,Q60,S60)</f>
        <v>30137000</v>
      </c>
      <c r="V60" s="87">
        <f t="shared" si="19"/>
        <v>1</v>
      </c>
      <c r="W60" s="87">
        <f t="shared" si="2"/>
        <v>0.12601219050552814</v>
      </c>
      <c r="X60" s="80">
        <f>T60+G60</f>
        <v>1</v>
      </c>
      <c r="Y60" s="80">
        <f t="shared" si="0"/>
        <v>30137000</v>
      </c>
      <c r="Z60" s="88">
        <v>0</v>
      </c>
      <c r="AA60" s="89">
        <v>0</v>
      </c>
      <c r="AB60" s="104"/>
      <c r="AC60" s="105"/>
      <c r="AD60" s="106"/>
      <c r="AE60" s="106"/>
      <c r="AF60" s="107"/>
      <c r="AG60" s="107"/>
      <c r="AH60" s="107"/>
      <c r="AI60" s="106"/>
    </row>
    <row r="61" spans="1:35" s="108" customFormat="1" ht="91.5" customHeight="1" x14ac:dyDescent="0.25">
      <c r="A61" s="100"/>
      <c r="B61" s="101"/>
      <c r="C61" s="118" t="s">
        <v>259</v>
      </c>
      <c r="D61" s="98" t="s">
        <v>260</v>
      </c>
      <c r="E61" s="79">
        <v>0</v>
      </c>
      <c r="F61" s="80">
        <v>0</v>
      </c>
      <c r="G61" s="79">
        <v>0</v>
      </c>
      <c r="H61" s="81">
        <v>0</v>
      </c>
      <c r="I61" s="82">
        <v>16</v>
      </c>
      <c r="J61" s="83" t="s">
        <v>219</v>
      </c>
      <c r="K61" s="81">
        <v>10780000</v>
      </c>
      <c r="L61" s="81"/>
      <c r="M61" s="81"/>
      <c r="N61" s="85"/>
      <c r="O61" s="85"/>
      <c r="P61" s="85">
        <v>0</v>
      </c>
      <c r="Q61" s="85">
        <v>3750000</v>
      </c>
      <c r="R61" s="86">
        <v>1</v>
      </c>
      <c r="S61" s="86">
        <v>450000</v>
      </c>
      <c r="T61" s="80">
        <f>10+R61</f>
        <v>11</v>
      </c>
      <c r="U61" s="80">
        <f t="shared" si="18"/>
        <v>4200000</v>
      </c>
      <c r="V61" s="87">
        <f t="shared" si="19"/>
        <v>0.6875</v>
      </c>
      <c r="W61" s="87">
        <f t="shared" si="2"/>
        <v>0.38961038961038963</v>
      </c>
      <c r="X61" s="80">
        <f t="shared" si="20"/>
        <v>11</v>
      </c>
      <c r="Y61" s="80">
        <f t="shared" si="0"/>
        <v>4200000</v>
      </c>
      <c r="Z61" s="88">
        <f t="shared" si="21"/>
        <v>0</v>
      </c>
      <c r="AA61" s="89">
        <f t="shared" si="21"/>
        <v>0</v>
      </c>
      <c r="AB61" s="104"/>
      <c r="AC61" s="105"/>
      <c r="AD61" s="106"/>
      <c r="AE61" s="106"/>
      <c r="AF61" s="107"/>
      <c r="AG61" s="107"/>
      <c r="AH61" s="107"/>
      <c r="AI61" s="106"/>
    </row>
    <row r="62" spans="1:35" s="117" customFormat="1" ht="91.5" customHeight="1" x14ac:dyDescent="0.25">
      <c r="A62" s="109"/>
      <c r="B62" s="110"/>
      <c r="C62" s="111" t="s">
        <v>261</v>
      </c>
      <c r="D62" s="112"/>
      <c r="E62" s="61"/>
      <c r="F62" s="62"/>
      <c r="G62" s="61"/>
      <c r="H62" s="62"/>
      <c r="I62" s="63"/>
      <c r="J62" s="64"/>
      <c r="K62" s="65">
        <f>K63+K64</f>
        <v>132478000</v>
      </c>
      <c r="L62" s="62"/>
      <c r="M62" s="65">
        <f>M63+M64</f>
        <v>13090000</v>
      </c>
      <c r="N62" s="66"/>
      <c r="O62" s="65">
        <f>O63+O64</f>
        <v>59535000</v>
      </c>
      <c r="P62" s="85"/>
      <c r="Q62" s="103">
        <f>Q63+Q64</f>
        <v>28691000</v>
      </c>
      <c r="R62" s="66"/>
      <c r="S62" s="65">
        <f>S63+S64</f>
        <v>11020000</v>
      </c>
      <c r="T62" s="113"/>
      <c r="U62" s="65">
        <f>U63+U64</f>
        <v>99246000</v>
      </c>
      <c r="V62" s="67"/>
      <c r="W62" s="67">
        <f t="shared" si="2"/>
        <v>0.74915080239737919</v>
      </c>
      <c r="X62" s="68"/>
      <c r="Y62" s="65">
        <f t="shared" si="0"/>
        <v>99246000</v>
      </c>
      <c r="Z62" s="69"/>
      <c r="AA62" s="65">
        <f>AA63+AA64</f>
        <v>0</v>
      </c>
      <c r="AB62" s="70"/>
      <c r="AC62" s="114"/>
      <c r="AD62" s="115"/>
      <c r="AE62" s="115"/>
      <c r="AF62" s="116"/>
      <c r="AG62" s="116"/>
      <c r="AH62" s="116"/>
      <c r="AI62" s="115"/>
    </row>
    <row r="63" spans="1:35" s="108" customFormat="1" ht="91.5" customHeight="1" x14ac:dyDescent="0.25">
      <c r="A63" s="100"/>
      <c r="B63" s="101"/>
      <c r="C63" s="118" t="s">
        <v>262</v>
      </c>
      <c r="D63" s="98" t="s">
        <v>263</v>
      </c>
      <c r="E63" s="79">
        <v>0</v>
      </c>
      <c r="F63" s="80">
        <v>0</v>
      </c>
      <c r="G63" s="79">
        <v>0</v>
      </c>
      <c r="H63" s="81">
        <v>0</v>
      </c>
      <c r="I63" s="82">
        <v>1000</v>
      </c>
      <c r="J63" s="83" t="s">
        <v>264</v>
      </c>
      <c r="K63" s="81">
        <v>77230000</v>
      </c>
      <c r="L63" s="81" t="s">
        <v>162</v>
      </c>
      <c r="M63" s="81">
        <v>9640000</v>
      </c>
      <c r="N63" s="85">
        <v>740</v>
      </c>
      <c r="O63" s="85">
        <v>45155000</v>
      </c>
      <c r="P63" s="85">
        <v>60</v>
      </c>
      <c r="Q63" s="85">
        <v>12030000</v>
      </c>
      <c r="R63" s="86">
        <v>50</v>
      </c>
      <c r="S63" s="86">
        <v>8020000</v>
      </c>
      <c r="T63" s="80">
        <f>N63+P63+R63</f>
        <v>850</v>
      </c>
      <c r="U63" s="80">
        <f>SUM(O63,Q63,S63)</f>
        <v>65205000</v>
      </c>
      <c r="V63" s="87">
        <f>T63/I63*100%</f>
        <v>0.85</v>
      </c>
      <c r="W63" s="87">
        <f t="shared" si="2"/>
        <v>0.84429625793085583</v>
      </c>
      <c r="X63" s="80">
        <f>T63+G63</f>
        <v>850</v>
      </c>
      <c r="Y63" s="80">
        <f t="shared" si="0"/>
        <v>65205000</v>
      </c>
      <c r="Z63" s="88">
        <f>IFERROR(X63/E63,0)</f>
        <v>0</v>
      </c>
      <c r="AA63" s="89">
        <f>IFERROR(Y63/F63,0)</f>
        <v>0</v>
      </c>
      <c r="AB63" s="104"/>
      <c r="AC63" s="105"/>
      <c r="AD63" s="106"/>
      <c r="AE63" s="106"/>
      <c r="AF63" s="107"/>
      <c r="AG63" s="107"/>
      <c r="AH63" s="107"/>
      <c r="AI63" s="106"/>
    </row>
    <row r="64" spans="1:35" s="108" customFormat="1" ht="91.5" customHeight="1" x14ac:dyDescent="0.25">
      <c r="A64" s="100"/>
      <c r="B64" s="101"/>
      <c r="C64" s="118" t="s">
        <v>265</v>
      </c>
      <c r="D64" s="98" t="s">
        <v>266</v>
      </c>
      <c r="E64" s="79">
        <v>0</v>
      </c>
      <c r="F64" s="80">
        <v>0</v>
      </c>
      <c r="G64" s="79">
        <v>0</v>
      </c>
      <c r="H64" s="81">
        <v>0</v>
      </c>
      <c r="I64" s="82">
        <v>1</v>
      </c>
      <c r="J64" s="83" t="s">
        <v>267</v>
      </c>
      <c r="K64" s="81">
        <v>55248000</v>
      </c>
      <c r="L64" s="123" t="s">
        <v>162</v>
      </c>
      <c r="M64" s="81">
        <v>3450000</v>
      </c>
      <c r="N64" s="85">
        <v>1</v>
      </c>
      <c r="O64" s="85">
        <v>14380000</v>
      </c>
      <c r="P64" s="85">
        <v>0</v>
      </c>
      <c r="Q64" s="85">
        <v>16661000</v>
      </c>
      <c r="R64" s="86">
        <v>0</v>
      </c>
      <c r="S64" s="86">
        <v>3000000</v>
      </c>
      <c r="T64" s="80">
        <f t="shared" ref="T64" si="22">SUM(L64,N64,P64,R64)</f>
        <v>1</v>
      </c>
      <c r="U64" s="80">
        <f>SUM(O64,Q64,S64)</f>
        <v>34041000</v>
      </c>
      <c r="V64" s="87">
        <f>T64/I64*100%</f>
        <v>1</v>
      </c>
      <c r="W64" s="87">
        <f t="shared" si="2"/>
        <v>0.61614900086880975</v>
      </c>
      <c r="X64" s="80">
        <f>T64+G64</f>
        <v>1</v>
      </c>
      <c r="Y64" s="80">
        <f t="shared" si="0"/>
        <v>34041000</v>
      </c>
      <c r="Z64" s="88">
        <f>IFERROR(X64/E64,0)</f>
        <v>0</v>
      </c>
      <c r="AA64" s="89">
        <f>IFERROR(Y64/F64,0)</f>
        <v>0</v>
      </c>
      <c r="AB64" s="104"/>
      <c r="AC64" s="105"/>
      <c r="AD64" s="106"/>
      <c r="AE64" s="106"/>
      <c r="AF64" s="107"/>
      <c r="AG64" s="107"/>
      <c r="AH64" s="107"/>
      <c r="AI64" s="106"/>
    </row>
    <row r="65" spans="1:35" s="117" customFormat="1" ht="91.5" customHeight="1" x14ac:dyDescent="0.25">
      <c r="A65" s="109"/>
      <c r="B65" s="110"/>
      <c r="C65" s="111" t="s">
        <v>268</v>
      </c>
      <c r="D65" s="112"/>
      <c r="E65" s="61"/>
      <c r="F65" s="62"/>
      <c r="G65" s="61"/>
      <c r="H65" s="62"/>
      <c r="I65" s="63"/>
      <c r="J65" s="64"/>
      <c r="K65" s="65">
        <f>K66+K67</f>
        <v>139099368</v>
      </c>
      <c r="L65" s="62"/>
      <c r="M65" s="65">
        <f>M66+M67</f>
        <v>6000000</v>
      </c>
      <c r="N65" s="66"/>
      <c r="O65" s="65">
        <f>O66+O67</f>
        <v>87404000</v>
      </c>
      <c r="P65" s="85"/>
      <c r="Q65" s="103">
        <f>Q66+Q67</f>
        <v>21217110</v>
      </c>
      <c r="R65" s="66"/>
      <c r="S65" s="65">
        <f>S66+S67</f>
        <v>11990900</v>
      </c>
      <c r="T65" s="113"/>
      <c r="U65" s="65">
        <f>U66+U67</f>
        <v>120612010</v>
      </c>
      <c r="V65" s="67"/>
      <c r="W65" s="67">
        <f t="shared" si="2"/>
        <v>0.86709243711301409</v>
      </c>
      <c r="X65" s="68"/>
      <c r="Y65" s="65">
        <f t="shared" si="0"/>
        <v>120612010</v>
      </c>
      <c r="Z65" s="69"/>
      <c r="AA65" s="65">
        <f>AA66+AA67</f>
        <v>0</v>
      </c>
      <c r="AB65" s="70"/>
      <c r="AC65" s="114"/>
      <c r="AD65" s="115"/>
      <c r="AE65" s="115"/>
      <c r="AF65" s="116"/>
      <c r="AG65" s="116"/>
      <c r="AH65" s="116"/>
      <c r="AI65" s="115"/>
    </row>
    <row r="66" spans="1:35" s="108" customFormat="1" ht="91.5" customHeight="1" x14ac:dyDescent="0.25">
      <c r="A66" s="100"/>
      <c r="B66" s="101"/>
      <c r="C66" s="118" t="s">
        <v>269</v>
      </c>
      <c r="D66" s="98" t="s">
        <v>270</v>
      </c>
      <c r="E66" s="79">
        <v>0</v>
      </c>
      <c r="F66" s="80">
        <v>0</v>
      </c>
      <c r="G66" s="79">
        <v>0</v>
      </c>
      <c r="H66" s="81">
        <v>0</v>
      </c>
      <c r="I66" s="82">
        <v>10</v>
      </c>
      <c r="J66" s="83" t="s">
        <v>271</v>
      </c>
      <c r="K66" s="81">
        <v>31215000</v>
      </c>
      <c r="L66" s="123">
        <v>0</v>
      </c>
      <c r="M66" s="81">
        <v>0</v>
      </c>
      <c r="N66" s="85">
        <v>1</v>
      </c>
      <c r="O66" s="85">
        <v>4187000</v>
      </c>
      <c r="P66" s="85">
        <v>4</v>
      </c>
      <c r="Q66" s="85">
        <v>12217110</v>
      </c>
      <c r="R66" s="86">
        <v>2</v>
      </c>
      <c r="S66" s="86">
        <v>5990900</v>
      </c>
      <c r="T66" s="80">
        <f>N66+P66+R66</f>
        <v>7</v>
      </c>
      <c r="U66" s="80">
        <f>SUM(O66,Q66,S66)</f>
        <v>22395010</v>
      </c>
      <c r="V66" s="87">
        <f>T66/I66*100%</f>
        <v>0.7</v>
      </c>
      <c r="W66" s="87">
        <f t="shared" si="2"/>
        <v>0.71744385711997438</v>
      </c>
      <c r="X66" s="80">
        <f>T66+G66</f>
        <v>7</v>
      </c>
      <c r="Y66" s="80">
        <f t="shared" si="0"/>
        <v>22395010</v>
      </c>
      <c r="Z66" s="88">
        <f>IFERROR(X66/E66,0)</f>
        <v>0</v>
      </c>
      <c r="AA66" s="89">
        <f>IFERROR(Y66/F66,0)</f>
        <v>0</v>
      </c>
      <c r="AB66" s="104"/>
      <c r="AC66" s="105"/>
      <c r="AD66" s="106"/>
      <c r="AE66" s="106"/>
      <c r="AF66" s="107"/>
      <c r="AG66" s="107"/>
      <c r="AH66" s="107"/>
      <c r="AI66" s="106"/>
    </row>
    <row r="67" spans="1:35" s="108" customFormat="1" ht="91.5" customHeight="1" x14ac:dyDescent="0.25">
      <c r="A67" s="100"/>
      <c r="B67" s="101"/>
      <c r="C67" s="118" t="s">
        <v>272</v>
      </c>
      <c r="D67" s="98" t="s">
        <v>273</v>
      </c>
      <c r="E67" s="79">
        <v>0</v>
      </c>
      <c r="F67" s="80">
        <v>0</v>
      </c>
      <c r="G67" s="79">
        <v>0</v>
      </c>
      <c r="H67" s="81">
        <v>0</v>
      </c>
      <c r="I67" s="82">
        <v>75</v>
      </c>
      <c r="J67" s="83" t="s">
        <v>219</v>
      </c>
      <c r="K67" s="81">
        <v>107884368</v>
      </c>
      <c r="L67" s="126" t="s">
        <v>162</v>
      </c>
      <c r="M67" s="81">
        <v>6000000</v>
      </c>
      <c r="N67" s="84" t="s">
        <v>274</v>
      </c>
      <c r="O67" s="85">
        <v>83217000</v>
      </c>
      <c r="P67" s="84" t="s">
        <v>221</v>
      </c>
      <c r="Q67" s="85">
        <v>9000000</v>
      </c>
      <c r="R67" s="121" t="s">
        <v>306</v>
      </c>
      <c r="S67" s="86">
        <v>6000000</v>
      </c>
      <c r="T67" s="127">
        <f>N67+P67+R67</f>
        <v>0.72</v>
      </c>
      <c r="U67" s="80">
        <f>SUM(O67,Q67,S67)</f>
        <v>98217000</v>
      </c>
      <c r="V67" s="87">
        <f>T67/I67*100%</f>
        <v>9.5999999999999992E-3</v>
      </c>
      <c r="W67" s="87">
        <f t="shared" si="2"/>
        <v>0.9103913923841126</v>
      </c>
      <c r="X67" s="122">
        <f>T67+G67</f>
        <v>0.72</v>
      </c>
      <c r="Y67" s="80">
        <f t="shared" si="0"/>
        <v>98217000</v>
      </c>
      <c r="Z67" s="88">
        <f>IFERROR(X67/E67,0)</f>
        <v>0</v>
      </c>
      <c r="AA67" s="89">
        <f>IFERROR(Y67/F67,0)</f>
        <v>0</v>
      </c>
      <c r="AB67" s="104"/>
      <c r="AC67" s="105"/>
      <c r="AD67" s="106"/>
      <c r="AE67" s="106"/>
      <c r="AF67" s="107"/>
      <c r="AG67" s="107"/>
      <c r="AH67" s="107"/>
      <c r="AI67" s="106"/>
    </row>
    <row r="68" spans="1:35" ht="63.75" customHeight="1" x14ac:dyDescent="0.25">
      <c r="A68" s="75"/>
      <c r="B68" s="76"/>
      <c r="C68" s="77"/>
      <c r="D68" s="77"/>
      <c r="E68" s="79"/>
      <c r="F68" s="80"/>
      <c r="G68" s="79"/>
      <c r="H68" s="81"/>
      <c r="I68" s="293"/>
      <c r="J68" s="294"/>
      <c r="K68" s="80"/>
      <c r="L68" s="85"/>
      <c r="M68" s="85"/>
      <c r="N68" s="85"/>
      <c r="O68" s="85"/>
      <c r="P68" s="85"/>
      <c r="Q68" s="85"/>
      <c r="R68" s="86"/>
      <c r="S68" s="86"/>
      <c r="T68" s="80"/>
      <c r="U68" s="80" t="s">
        <v>276</v>
      </c>
      <c r="V68" s="87"/>
      <c r="W68" s="87"/>
      <c r="X68" s="79"/>
      <c r="Y68" s="80"/>
      <c r="Z68" s="88"/>
      <c r="AA68" s="89"/>
      <c r="AB68" s="90"/>
      <c r="AC68" s="38"/>
    </row>
    <row r="69" spans="1:35" ht="30" customHeight="1" x14ac:dyDescent="0.25">
      <c r="A69" s="75"/>
      <c r="B69" s="76"/>
      <c r="C69" s="77"/>
      <c r="D69" s="77"/>
      <c r="E69" s="79"/>
      <c r="F69" s="80"/>
      <c r="G69" s="79"/>
      <c r="H69" s="80"/>
      <c r="I69" s="293"/>
      <c r="J69" s="294"/>
      <c r="K69" s="80"/>
      <c r="L69" s="301" t="s">
        <v>277</v>
      </c>
      <c r="M69" s="301"/>
      <c r="N69" s="301"/>
      <c r="O69" s="301"/>
      <c r="P69" s="301"/>
      <c r="Q69" s="301"/>
      <c r="R69" s="301"/>
      <c r="S69" s="301"/>
      <c r="T69" s="301"/>
      <c r="U69" s="301"/>
      <c r="V69" s="128">
        <f>SUMPRODUCT(V9:V67,K9:K67)/K71</f>
        <v>0.74887532921213074</v>
      </c>
      <c r="W69" s="128">
        <f>IFERROR(U71/K71,0)</f>
        <v>0.73218258878267872</v>
      </c>
      <c r="X69" s="79"/>
      <c r="Y69" s="80"/>
      <c r="Z69" s="88"/>
      <c r="AA69" s="89"/>
      <c r="AB69" s="90"/>
      <c r="AC69" s="38"/>
    </row>
    <row r="70" spans="1:35" ht="30" customHeight="1" x14ac:dyDescent="0.25">
      <c r="A70" s="75"/>
      <c r="B70" s="76"/>
      <c r="C70" s="77"/>
      <c r="D70" s="77"/>
      <c r="E70" s="79"/>
      <c r="F70" s="80"/>
      <c r="G70" s="79"/>
      <c r="H70" s="80"/>
      <c r="I70" s="293"/>
      <c r="J70" s="294"/>
      <c r="K70" s="80"/>
      <c r="L70" s="301" t="s">
        <v>278</v>
      </c>
      <c r="M70" s="301"/>
      <c r="N70" s="301"/>
      <c r="O70" s="301"/>
      <c r="P70" s="301"/>
      <c r="Q70" s="301"/>
      <c r="R70" s="301"/>
      <c r="S70" s="301"/>
      <c r="T70" s="301"/>
      <c r="U70" s="301"/>
      <c r="V70" s="128" t="str">
        <f>IF(V69&gt;0.9,"Sangat Tinggi",IF(V69&gt;0.75,"Tinggi",IF(V69&gt;0.65,"Sedang",IF(V69&gt;0.5,"Rendah","Sangat Rendah"))))</f>
        <v>Sedang</v>
      </c>
      <c r="W70" s="128" t="str">
        <f>IF(W69&gt;0.9,"Sangat Tinggi",IF(W69&gt;0.75,"Tinggi",IF(W69&gt;0.65,"Sedang",IF(W69&gt;0.5,"Rendah","Sangat Rendah"))))</f>
        <v>Sedang</v>
      </c>
      <c r="X70" s="79"/>
      <c r="Y70" s="80"/>
      <c r="Z70" s="88"/>
      <c r="AA70" s="89"/>
      <c r="AB70" s="90"/>
      <c r="AC70" s="38"/>
    </row>
    <row r="71" spans="1:35" x14ac:dyDescent="0.25">
      <c r="A71" s="129"/>
      <c r="B71" s="130"/>
      <c r="C71" s="130"/>
      <c r="D71" s="130"/>
      <c r="E71" s="130"/>
      <c r="F71" s="130"/>
      <c r="G71" s="130"/>
      <c r="H71" s="130"/>
      <c r="I71" s="293"/>
      <c r="J71" s="294"/>
      <c r="K71" s="131">
        <f>+K9</f>
        <v>11623386261</v>
      </c>
      <c r="L71" s="306" t="s">
        <v>279</v>
      </c>
      <c r="M71" s="307"/>
      <c r="N71" s="307"/>
      <c r="O71" s="307"/>
      <c r="P71" s="307"/>
      <c r="Q71" s="307"/>
      <c r="R71" s="307"/>
      <c r="S71" s="307"/>
      <c r="T71" s="308"/>
      <c r="U71" s="131">
        <f>+U9</f>
        <v>8510441043</v>
      </c>
      <c r="V71" s="132">
        <f>+(0+V69*K71)/K71</f>
        <v>0.74887532921213074</v>
      </c>
      <c r="W71" s="132">
        <f>(0+U71)/K71</f>
        <v>0.73218258878267872</v>
      </c>
      <c r="X71" s="133"/>
      <c r="Y71" s="133"/>
      <c r="Z71" s="133"/>
      <c r="AA71" s="134"/>
      <c r="AB71" s="135"/>
      <c r="AC71" s="31"/>
    </row>
    <row r="72" spans="1:35" ht="33" customHeight="1" thickBot="1" x14ac:dyDescent="0.3">
      <c r="A72" s="136"/>
      <c r="B72" s="137"/>
      <c r="C72" s="137"/>
      <c r="D72" s="137"/>
      <c r="E72" s="137"/>
      <c r="F72" s="137"/>
      <c r="G72" s="137"/>
      <c r="H72" s="137"/>
      <c r="I72" s="309"/>
      <c r="J72" s="310"/>
      <c r="K72" s="137"/>
      <c r="L72" s="311" t="s">
        <v>280</v>
      </c>
      <c r="M72" s="312"/>
      <c r="N72" s="312"/>
      <c r="O72" s="312"/>
      <c r="P72" s="312"/>
      <c r="Q72" s="312"/>
      <c r="R72" s="312"/>
      <c r="S72" s="312"/>
      <c r="T72" s="312"/>
      <c r="U72" s="313"/>
      <c r="V72" s="138" t="str">
        <f>IF(V71&gt;0.9,"Sangat Tinggi",IF(V71&gt;0.75,"Tinggi",IF(V71&gt;0.65,"Sedang",IF(V71&gt;0.5,"Rendah","Sangat Rendah"))))</f>
        <v>Sedang</v>
      </c>
      <c r="W72" s="138" t="str">
        <f>IF(W71&gt;0.9,"Sangat Tinggi",IF(W71&gt;0.75,"Tinggi",IF(W71&gt;0.65,"Sedang",IF(W71&gt;0.5,"Rendah","Sangat Rendah"))))</f>
        <v>Sedang</v>
      </c>
      <c r="X72" s="139"/>
      <c r="Y72" s="139"/>
      <c r="Z72" s="139"/>
      <c r="AA72" s="140"/>
      <c r="AB72" s="141"/>
      <c r="AC72" s="142"/>
    </row>
    <row r="73" spans="1:35" ht="21" customHeight="1" x14ac:dyDescent="0.25"/>
    <row r="74" spans="1:35" ht="24" customHeight="1" x14ac:dyDescent="0.25">
      <c r="A74" s="143" t="s">
        <v>281</v>
      </c>
      <c r="B74" s="143" t="s">
        <v>282</v>
      </c>
      <c r="C74" s="143" t="s">
        <v>283</v>
      </c>
      <c r="Q74" s="19" t="s">
        <v>284</v>
      </c>
      <c r="U74" s="144"/>
      <c r="V74" s="145"/>
      <c r="W74" s="314" t="s">
        <v>307</v>
      </c>
      <c r="X74" s="314"/>
      <c r="Y74" s="314"/>
      <c r="Z74" s="314"/>
      <c r="AA74" s="314"/>
      <c r="AB74" s="314"/>
    </row>
    <row r="75" spans="1:35" ht="22.5" customHeight="1" x14ac:dyDescent="0.25">
      <c r="A75" s="146" t="s">
        <v>286</v>
      </c>
      <c r="B75" s="146" t="s">
        <v>287</v>
      </c>
      <c r="C75" s="146" t="s">
        <v>288</v>
      </c>
      <c r="V75" s="145"/>
      <c r="W75" s="315" t="s">
        <v>289</v>
      </c>
      <c r="X75" s="315"/>
      <c r="Y75" s="315"/>
      <c r="Z75" s="315"/>
      <c r="AA75" s="315"/>
      <c r="AB75" s="315"/>
    </row>
    <row r="76" spans="1:35" ht="24.75" customHeight="1" x14ac:dyDescent="0.25">
      <c r="A76" s="146" t="s">
        <v>290</v>
      </c>
      <c r="B76" s="146" t="s">
        <v>291</v>
      </c>
      <c r="C76" s="146" t="s">
        <v>292</v>
      </c>
    </row>
    <row r="77" spans="1:35" ht="24.75" customHeight="1" x14ac:dyDescent="0.25">
      <c r="A77" s="146" t="s">
        <v>293</v>
      </c>
      <c r="B77" s="146" t="s">
        <v>294</v>
      </c>
      <c r="C77" s="146" t="s">
        <v>295</v>
      </c>
      <c r="X77" s="147"/>
      <c r="Y77" s="304"/>
      <c r="Z77" s="304"/>
      <c r="AA77" s="304"/>
    </row>
    <row r="78" spans="1:35" ht="22.5" customHeight="1" x14ac:dyDescent="0.25">
      <c r="A78" s="146" t="s">
        <v>296</v>
      </c>
      <c r="B78" s="146" t="s">
        <v>297</v>
      </c>
      <c r="C78" s="146" t="s">
        <v>298</v>
      </c>
      <c r="X78" s="305" t="s">
        <v>299</v>
      </c>
      <c r="Y78" s="305"/>
      <c r="Z78" s="305"/>
      <c r="AA78" s="305"/>
      <c r="AB78" s="305"/>
    </row>
    <row r="79" spans="1:35" ht="23.25" customHeight="1" x14ac:dyDescent="0.25">
      <c r="A79" s="146" t="s">
        <v>300</v>
      </c>
      <c r="B79" s="148" t="s">
        <v>301</v>
      </c>
      <c r="C79" s="146" t="s">
        <v>302</v>
      </c>
      <c r="V79" s="145"/>
      <c r="W79" s="149"/>
      <c r="X79" s="305" t="s">
        <v>303</v>
      </c>
      <c r="Y79" s="305"/>
      <c r="Z79" s="305"/>
      <c r="AA79" s="305"/>
      <c r="AB79" s="305"/>
    </row>
    <row r="80" spans="1:35" ht="15" customHeight="1" x14ac:dyDescent="0.25">
      <c r="X80" s="305" t="s">
        <v>304</v>
      </c>
      <c r="Y80" s="305"/>
      <c r="Z80" s="305"/>
      <c r="AA80" s="305"/>
      <c r="AB80" s="305"/>
    </row>
    <row r="81" spans="24:27" x14ac:dyDescent="0.25">
      <c r="X81" s="147"/>
      <c r="Y81" s="147"/>
      <c r="Z81" s="147"/>
      <c r="AA81" s="147"/>
    </row>
  </sheetData>
  <mergeCells count="53">
    <mergeCell ref="Y77:AA77"/>
    <mergeCell ref="X78:AB78"/>
    <mergeCell ref="X79:AB79"/>
    <mergeCell ref="X80:AB80"/>
    <mergeCell ref="I71:J71"/>
    <mergeCell ref="L71:T71"/>
    <mergeCell ref="I72:J72"/>
    <mergeCell ref="L72:U72"/>
    <mergeCell ref="W74:AB74"/>
    <mergeCell ref="W75:AB75"/>
    <mergeCell ref="I70:J70"/>
    <mergeCell ref="L70:U70"/>
    <mergeCell ref="N7:O7"/>
    <mergeCell ref="P7:Q7"/>
    <mergeCell ref="R7:S7"/>
    <mergeCell ref="T7:U7"/>
    <mergeCell ref="I8:J8"/>
    <mergeCell ref="I68:J68"/>
    <mergeCell ref="I69:J69"/>
    <mergeCell ref="L69:U69"/>
    <mergeCell ref="Z6:AA6"/>
    <mergeCell ref="A7:A8"/>
    <mergeCell ref="B7:B8"/>
    <mergeCell ref="C7:C8"/>
    <mergeCell ref="D7:D8"/>
    <mergeCell ref="E7:F7"/>
    <mergeCell ref="G7:H7"/>
    <mergeCell ref="I7:K7"/>
    <mergeCell ref="L7:M7"/>
    <mergeCell ref="Z7:AA7"/>
    <mergeCell ref="V7:W7"/>
    <mergeCell ref="X7:Y7"/>
    <mergeCell ref="P6:Q6"/>
    <mergeCell ref="R6:S6"/>
    <mergeCell ref="T6:U6"/>
    <mergeCell ref="V6:W6"/>
    <mergeCell ref="X6:Y6"/>
    <mergeCell ref="E6:F6"/>
    <mergeCell ref="G6:H6"/>
    <mergeCell ref="I6:K6"/>
    <mergeCell ref="L6:M6"/>
    <mergeCell ref="N6:O6"/>
    <mergeCell ref="A1:AC1"/>
    <mergeCell ref="A2:AC2"/>
    <mergeCell ref="A3:AC3"/>
    <mergeCell ref="E5:F5"/>
    <mergeCell ref="G5:H5"/>
    <mergeCell ref="I5:K5"/>
    <mergeCell ref="L5:S5"/>
    <mergeCell ref="T5:U5"/>
    <mergeCell ref="V5:W5"/>
    <mergeCell ref="X5:Y5"/>
    <mergeCell ref="Z5:AA5"/>
  </mergeCells>
  <pageMargins left="0.25" right="0.25" top="0.75" bottom="0.75" header="0.3" footer="0.3"/>
  <pageSetup paperSize="5" orientation="landscape" horizontalDpi="4294967293" verticalDpi="0" r:id="rId1"/>
  <rowBreaks count="3" manualBreakCount="3">
    <brk id="16" max="27" man="1"/>
    <brk id="31" max="27" man="1"/>
    <brk id="52"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93"/>
  <sheetViews>
    <sheetView view="pageBreakPreview" topLeftCell="C5" zoomScale="80" zoomScaleNormal="80" zoomScaleSheetLayoutView="80" workbookViewId="0">
      <pane xSplit="4" ySplit="9" topLeftCell="G14" activePane="bottomRight" state="frozen"/>
      <selection activeCell="C5" sqref="C5"/>
      <selection pane="topRight" activeCell="E5" sqref="E5"/>
      <selection pane="bottomLeft" activeCell="C8" sqref="C8"/>
      <selection pane="bottomRight" activeCell="I67" sqref="I67"/>
    </sheetView>
  </sheetViews>
  <sheetFormatPr defaultColWidth="9.140625" defaultRowHeight="23.25" x14ac:dyDescent="0.25"/>
  <cols>
    <col min="1" max="1" width="5.42578125" style="19" customWidth="1"/>
    <col min="2" max="2" width="17.85546875" style="19" customWidth="1"/>
    <col min="3" max="3" width="7.140625" style="19" customWidth="1"/>
    <col min="4" max="4" width="16.42578125" style="19" customWidth="1"/>
    <col min="5" max="5" width="18.85546875" style="147" customWidth="1"/>
    <col min="6" max="6" width="24.140625" style="147" customWidth="1"/>
    <col min="7" max="7" width="7.5703125" style="19" customWidth="1"/>
    <col min="8" max="8" width="12" style="19" customWidth="1"/>
    <col min="9" max="9" width="8" style="150" customWidth="1"/>
    <col min="10" max="10" width="4.140625" style="150" customWidth="1"/>
    <col min="11" max="11" width="7.140625" style="150" customWidth="1"/>
    <col min="12" max="12" width="11.85546875" style="150" customWidth="1"/>
    <col min="13" max="13" width="35.42578125" style="151" customWidth="1"/>
    <col min="14" max="14" width="7" style="151" customWidth="1"/>
    <col min="15" max="15" width="22.42578125" style="151" customWidth="1"/>
    <col min="16" max="16" width="9" style="151" customWidth="1"/>
    <col min="17" max="17" width="22.85546875" style="151" bestFit="1" customWidth="1"/>
    <col min="18" max="18" width="6.7109375" style="151" customWidth="1"/>
    <col min="19" max="19" width="23.7109375" style="151" customWidth="1"/>
    <col min="20" max="20" width="8" style="151" customWidth="1"/>
    <col min="21" max="21" width="21" style="151" customWidth="1"/>
    <col min="22" max="22" width="9.42578125" style="151" customWidth="1"/>
    <col min="23" max="23" width="23.140625" style="151" customWidth="1"/>
    <col min="24" max="24" width="14.28515625" style="151" customWidth="1"/>
    <col min="25" max="25" width="11.7109375" style="151" customWidth="1"/>
    <col min="26" max="26" width="10.85546875" style="151" bestFit="1" customWidth="1"/>
    <col min="27" max="27" width="22.85546875" style="151" bestFit="1" customWidth="1"/>
    <col min="28" max="29" width="10.140625" style="151" bestFit="1" customWidth="1"/>
    <col min="30" max="30" width="39.5703125" style="152" customWidth="1"/>
    <col min="31" max="31" width="27" style="22" customWidth="1"/>
    <col min="32" max="33" width="9.140625" style="19"/>
    <col min="34" max="36" width="9.140625" style="20"/>
    <col min="37" max="37" width="9.140625" style="19"/>
    <col min="38" max="16384" width="9.140625" style="21"/>
  </cols>
  <sheetData>
    <row r="1" spans="1:37" ht="16.5" x14ac:dyDescent="0.25">
      <c r="A1" s="288" t="s">
        <v>128</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row>
    <row r="2" spans="1:37" ht="16.5" x14ac:dyDescent="0.25">
      <c r="A2" s="288" t="s">
        <v>129</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row>
    <row r="3" spans="1:37" ht="16.5" x14ac:dyDescent="0.25">
      <c r="A3" s="289" t="s">
        <v>130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row>
    <row r="4" spans="1:37" ht="14.85" customHeight="1" x14ac:dyDescent="0.25"/>
    <row r="5" spans="1:37" ht="14.85" customHeight="1" x14ac:dyDescent="0.25"/>
    <row r="6" spans="1:37" ht="14.85" customHeight="1" x14ac:dyDescent="0.25">
      <c r="Q6" s="153"/>
      <c r="S6" s="153"/>
    </row>
    <row r="7" spans="1:37" ht="14.85" customHeight="1" x14ac:dyDescent="0.25">
      <c r="Q7" s="154"/>
      <c r="S7" s="153"/>
      <c r="U7" s="153"/>
      <c r="W7" s="153"/>
    </row>
    <row r="8" spans="1:37" ht="14.85" customHeight="1" x14ac:dyDescent="0.25">
      <c r="Q8" s="153"/>
      <c r="S8" s="154"/>
      <c r="U8" s="153"/>
    </row>
    <row r="9" spans="1:37" ht="14.85" customHeight="1" x14ac:dyDescent="0.25">
      <c r="S9" s="153"/>
    </row>
    <row r="10" spans="1:37" ht="14.85" customHeight="1" thickBot="1" x14ac:dyDescent="0.3"/>
    <row r="11" spans="1:37" ht="111" customHeight="1" x14ac:dyDescent="0.25">
      <c r="A11" s="23" t="s">
        <v>131</v>
      </c>
      <c r="B11" s="24" t="s">
        <v>132</v>
      </c>
      <c r="C11" s="24" t="s">
        <v>131</v>
      </c>
      <c r="D11" s="24" t="s">
        <v>308</v>
      </c>
      <c r="E11" s="155" t="s">
        <v>133</v>
      </c>
      <c r="F11" s="155" t="s">
        <v>134</v>
      </c>
      <c r="G11" s="290" t="s">
        <v>135</v>
      </c>
      <c r="H11" s="290"/>
      <c r="I11" s="316" t="s">
        <v>309</v>
      </c>
      <c r="J11" s="316"/>
      <c r="K11" s="316" t="s">
        <v>310</v>
      </c>
      <c r="L11" s="316"/>
      <c r="M11" s="316"/>
      <c r="N11" s="317" t="s">
        <v>311</v>
      </c>
      <c r="O11" s="317"/>
      <c r="P11" s="317"/>
      <c r="Q11" s="317"/>
      <c r="R11" s="317"/>
      <c r="S11" s="317"/>
      <c r="T11" s="317"/>
      <c r="U11" s="317"/>
      <c r="V11" s="317" t="s">
        <v>312</v>
      </c>
      <c r="W11" s="317"/>
      <c r="X11" s="317" t="s">
        <v>313</v>
      </c>
      <c r="Y11" s="317"/>
      <c r="Z11" s="317" t="s">
        <v>314</v>
      </c>
      <c r="AA11" s="317"/>
      <c r="AB11" s="317" t="s">
        <v>315</v>
      </c>
      <c r="AC11" s="318"/>
      <c r="AD11" s="156" t="s">
        <v>143</v>
      </c>
      <c r="AE11" s="26" t="s">
        <v>144</v>
      </c>
    </row>
    <row r="12" spans="1:37" x14ac:dyDescent="0.25">
      <c r="A12" s="27"/>
      <c r="B12" s="28"/>
      <c r="C12" s="28"/>
      <c r="D12" s="28"/>
      <c r="E12" s="157"/>
      <c r="F12" s="157"/>
      <c r="G12" s="292"/>
      <c r="H12" s="292"/>
      <c r="I12" s="319"/>
      <c r="J12" s="320"/>
      <c r="K12" s="321"/>
      <c r="L12" s="321"/>
      <c r="M12" s="321"/>
      <c r="N12" s="322" t="s">
        <v>145</v>
      </c>
      <c r="O12" s="322"/>
      <c r="P12" s="323" t="s">
        <v>146</v>
      </c>
      <c r="Q12" s="323"/>
      <c r="R12" s="323" t="s">
        <v>147</v>
      </c>
      <c r="S12" s="323"/>
      <c r="T12" s="324" t="s">
        <v>148</v>
      </c>
      <c r="U12" s="324"/>
      <c r="V12" s="325"/>
      <c r="W12" s="326"/>
      <c r="X12" s="322"/>
      <c r="Y12" s="322"/>
      <c r="Z12" s="327"/>
      <c r="AA12" s="327"/>
      <c r="AB12" s="327"/>
      <c r="AC12" s="328"/>
      <c r="AD12" s="158"/>
      <c r="AE12" s="31"/>
    </row>
    <row r="13" spans="1:37" ht="15" customHeight="1" x14ac:dyDescent="0.25">
      <c r="A13" s="299">
        <v>1</v>
      </c>
      <c r="B13" s="292">
        <v>2</v>
      </c>
      <c r="C13" s="159">
        <v>1</v>
      </c>
      <c r="D13" s="159">
        <v>2</v>
      </c>
      <c r="E13" s="160">
        <v>3</v>
      </c>
      <c r="F13" s="148">
        <v>4</v>
      </c>
      <c r="G13" s="292">
        <v>5</v>
      </c>
      <c r="H13" s="292"/>
      <c r="I13" s="329">
        <v>6</v>
      </c>
      <c r="J13" s="329"/>
      <c r="K13" s="319">
        <v>7</v>
      </c>
      <c r="L13" s="330"/>
      <c r="M13" s="320"/>
      <c r="N13" s="322">
        <v>8</v>
      </c>
      <c r="O13" s="322"/>
      <c r="P13" s="323">
        <v>9</v>
      </c>
      <c r="Q13" s="323"/>
      <c r="R13" s="323">
        <v>10</v>
      </c>
      <c r="S13" s="323"/>
      <c r="T13" s="324">
        <v>11</v>
      </c>
      <c r="U13" s="324"/>
      <c r="V13" s="322">
        <v>12</v>
      </c>
      <c r="W13" s="322"/>
      <c r="X13" s="322" t="s">
        <v>149</v>
      </c>
      <c r="Y13" s="322"/>
      <c r="Z13" s="322" t="s">
        <v>150</v>
      </c>
      <c r="AA13" s="322"/>
      <c r="AB13" s="322" t="s">
        <v>151</v>
      </c>
      <c r="AC13" s="325"/>
      <c r="AD13" s="161">
        <v>16</v>
      </c>
      <c r="AE13" s="33">
        <v>17</v>
      </c>
    </row>
    <row r="14" spans="1:37" ht="40.5" x14ac:dyDescent="0.25">
      <c r="A14" s="299"/>
      <c r="B14" s="292"/>
      <c r="C14" s="162"/>
      <c r="D14" s="162"/>
      <c r="E14" s="163"/>
      <c r="F14" s="148"/>
      <c r="G14" s="34" t="s">
        <v>152</v>
      </c>
      <c r="H14" s="34" t="s">
        <v>153</v>
      </c>
      <c r="I14" s="164" t="s">
        <v>152</v>
      </c>
      <c r="J14" s="164" t="s">
        <v>153</v>
      </c>
      <c r="K14" s="319" t="s">
        <v>152</v>
      </c>
      <c r="L14" s="320"/>
      <c r="M14" s="165" t="s">
        <v>153</v>
      </c>
      <c r="N14" s="165" t="s">
        <v>152</v>
      </c>
      <c r="O14" s="165" t="s">
        <v>153</v>
      </c>
      <c r="P14" s="166" t="s">
        <v>152</v>
      </c>
      <c r="Q14" s="166" t="s">
        <v>153</v>
      </c>
      <c r="R14" s="166" t="s">
        <v>152</v>
      </c>
      <c r="S14" s="166" t="s">
        <v>153</v>
      </c>
      <c r="T14" s="166" t="s">
        <v>152</v>
      </c>
      <c r="U14" s="166" t="s">
        <v>153</v>
      </c>
      <c r="V14" s="165" t="s">
        <v>152</v>
      </c>
      <c r="W14" s="165" t="s">
        <v>153</v>
      </c>
      <c r="X14" s="165" t="s">
        <v>152</v>
      </c>
      <c r="Y14" s="165" t="s">
        <v>153</v>
      </c>
      <c r="Z14" s="165" t="s">
        <v>152</v>
      </c>
      <c r="AA14" s="165" t="s">
        <v>153</v>
      </c>
      <c r="AB14" s="165" t="s">
        <v>152</v>
      </c>
      <c r="AC14" s="167" t="s">
        <v>153</v>
      </c>
      <c r="AD14" s="168"/>
      <c r="AE14" s="38"/>
    </row>
    <row r="15" spans="1:37" s="57" customFormat="1" ht="113.1" customHeight="1" x14ac:dyDescent="0.25">
      <c r="A15" s="39"/>
      <c r="B15" s="40"/>
      <c r="C15" s="40"/>
      <c r="D15" s="40"/>
      <c r="E15" s="169" t="s">
        <v>154</v>
      </c>
      <c r="F15" s="170"/>
      <c r="G15" s="43"/>
      <c r="H15" s="44"/>
      <c r="I15" s="171"/>
      <c r="J15" s="172"/>
      <c r="K15" s="173"/>
      <c r="L15" s="174"/>
      <c r="M15" s="175">
        <f>M16+M23+M27+M29+M31+M37+M42+M45+M48+M56+M59+M66+M68</f>
        <v>13754940358</v>
      </c>
      <c r="N15" s="176"/>
      <c r="O15" s="175">
        <f>0+O16+O23+O27+O29+O31+O37+O42+O45+O48+O56+O59+O66+O68</f>
        <v>1756674091</v>
      </c>
      <c r="P15" s="176"/>
      <c r="Q15" s="175">
        <f>0+Q16+Q23+Q27+Q29+Q31+Q37+Q42+Q45+Q48+Q56+Q59+Q66+Q68</f>
        <v>3580049348</v>
      </c>
      <c r="R15" s="176"/>
      <c r="S15" s="175">
        <f>0+S16+S23+S27+S29+S31+S37+S42+S45+S48+S56+S59+S66+S68</f>
        <v>2545171797</v>
      </c>
      <c r="T15" s="176"/>
      <c r="U15" s="175">
        <f>0+U16+U23+U27+U29+U31+U37+U42+U45+U48+U56+U59+U66+U68</f>
        <v>5634657785</v>
      </c>
      <c r="V15" s="175"/>
      <c r="W15" s="175">
        <f>0+W16+W23+W27+W29+W31+W37+W42+W45+W48+W56+W59+W66+W68</f>
        <v>13516553021</v>
      </c>
      <c r="X15" s="177"/>
      <c r="Y15" s="177">
        <f>W15/M15*100%</f>
        <v>0.98266896614630894</v>
      </c>
      <c r="Z15" s="178"/>
      <c r="AA15" s="175">
        <f t="shared" ref="AA15:AA70" si="0">W15+J15</f>
        <v>13516553021</v>
      </c>
      <c r="AB15" s="179"/>
      <c r="AC15" s="180">
        <f>IFERROR(AA15/H15,0)</f>
        <v>0</v>
      </c>
      <c r="AD15" s="181" t="s">
        <v>155</v>
      </c>
      <c r="AE15" s="54"/>
      <c r="AF15" s="55"/>
      <c r="AG15" s="55"/>
      <c r="AH15" s="56"/>
      <c r="AI15" s="56"/>
      <c r="AJ15" s="56"/>
      <c r="AK15" s="55"/>
    </row>
    <row r="16" spans="1:37" s="74" customFormat="1" ht="123.95" customHeight="1" x14ac:dyDescent="0.25">
      <c r="A16" s="58"/>
      <c r="B16" s="59"/>
      <c r="C16" s="59"/>
      <c r="D16" s="59"/>
      <c r="E16" s="182" t="s">
        <v>156</v>
      </c>
      <c r="F16" s="182" t="s">
        <v>157</v>
      </c>
      <c r="G16" s="61"/>
      <c r="H16" s="62"/>
      <c r="I16" s="183"/>
      <c r="J16" s="184"/>
      <c r="K16" s="185"/>
      <c r="L16" s="186"/>
      <c r="M16" s="187">
        <f>0+M17+M19+M21+M22+M18+M20</f>
        <v>84074600</v>
      </c>
      <c r="N16" s="188"/>
      <c r="O16" s="187">
        <f>0+O17+O19+O21+O22+O18+O20</f>
        <v>6069700</v>
      </c>
      <c r="P16" s="188"/>
      <c r="Q16" s="187">
        <f>0+Q17+Q19+Q21+Q22+Q18+Q20</f>
        <v>11865500</v>
      </c>
      <c r="R16" s="188"/>
      <c r="S16" s="187">
        <f>0+S17+S19+S21+S22+S18+S20</f>
        <v>16843741</v>
      </c>
      <c r="T16" s="188"/>
      <c r="U16" s="187">
        <f>U17+U18+U19+U20+U21+U22</f>
        <v>48700760</v>
      </c>
      <c r="V16" s="187"/>
      <c r="W16" s="187">
        <f>0+W17+W19+W21+W22+W18+W20</f>
        <v>83479701</v>
      </c>
      <c r="X16" s="189"/>
      <c r="Y16" s="189">
        <f>W16/M16*100%</f>
        <v>0.99292415307357984</v>
      </c>
      <c r="Z16" s="190"/>
      <c r="AA16" s="187">
        <f t="shared" si="0"/>
        <v>83479701</v>
      </c>
      <c r="AB16" s="191"/>
      <c r="AC16" s="187">
        <f>0+AC17+AC19+AC21+AC22+AC18+AC20</f>
        <v>0</v>
      </c>
      <c r="AD16" s="192"/>
      <c r="AE16" s="71"/>
      <c r="AF16" s="72"/>
      <c r="AG16" s="72"/>
      <c r="AH16" s="73"/>
      <c r="AI16" s="73"/>
      <c r="AJ16" s="73"/>
      <c r="AK16" s="72"/>
    </row>
    <row r="17" spans="1:37" ht="99.75" customHeight="1" x14ac:dyDescent="0.25">
      <c r="A17" s="75"/>
      <c r="B17" s="76"/>
      <c r="C17" s="76"/>
      <c r="D17" s="76"/>
      <c r="E17" s="193" t="s">
        <v>158</v>
      </c>
      <c r="F17" s="194" t="s">
        <v>159</v>
      </c>
      <c r="G17" s="79">
        <v>0</v>
      </c>
      <c r="H17" s="80">
        <v>0</v>
      </c>
      <c r="I17" s="195">
        <v>0</v>
      </c>
      <c r="J17" s="196">
        <v>0</v>
      </c>
      <c r="K17" s="197">
        <v>1</v>
      </c>
      <c r="L17" s="198" t="s">
        <v>160</v>
      </c>
      <c r="M17" s="199">
        <v>6900900</v>
      </c>
      <c r="N17" s="200" t="s">
        <v>161</v>
      </c>
      <c r="O17" s="201">
        <v>1499700</v>
      </c>
      <c r="P17" s="200" t="s">
        <v>161</v>
      </c>
      <c r="Q17" s="201">
        <v>560000</v>
      </c>
      <c r="R17" s="200" t="s">
        <v>161</v>
      </c>
      <c r="S17" s="201">
        <v>0</v>
      </c>
      <c r="T17" s="201">
        <v>1</v>
      </c>
      <c r="U17" s="201">
        <v>4704400</v>
      </c>
      <c r="V17" s="199">
        <f t="shared" ref="V17:V22" si="1">SUM(N17,P17,R17,T17)</f>
        <v>1</v>
      </c>
      <c r="W17" s="199">
        <f>O17+Q17+S17+U17</f>
        <v>6764100</v>
      </c>
      <c r="X17" s="202">
        <f>V17/K17*100%</f>
        <v>1</v>
      </c>
      <c r="Y17" s="202">
        <f t="shared" ref="Y17:Y70" si="2">W17/M17*100%</f>
        <v>0.98017649871755863</v>
      </c>
      <c r="Z17" s="199">
        <f t="shared" ref="Z17:Z22" si="3">V17+I17</f>
        <v>1</v>
      </c>
      <c r="AA17" s="199">
        <f t="shared" si="0"/>
        <v>6764100</v>
      </c>
      <c r="AB17" s="203">
        <f t="shared" ref="AB17:AC22" si="4">IFERROR(Z17/G17,0)</f>
        <v>0</v>
      </c>
      <c r="AC17" s="204">
        <f t="shared" si="4"/>
        <v>0</v>
      </c>
      <c r="AD17" s="205"/>
      <c r="AE17" s="38"/>
    </row>
    <row r="18" spans="1:37" ht="99.75" customHeight="1" x14ac:dyDescent="0.25">
      <c r="A18" s="75"/>
      <c r="B18" s="76"/>
      <c r="C18" s="76"/>
      <c r="D18" s="76"/>
      <c r="E18" s="193" t="s">
        <v>163</v>
      </c>
      <c r="F18" s="206" t="s">
        <v>164</v>
      </c>
      <c r="G18" s="79">
        <v>0</v>
      </c>
      <c r="H18" s="80">
        <v>0</v>
      </c>
      <c r="I18" s="195">
        <v>0</v>
      </c>
      <c r="J18" s="196">
        <v>0</v>
      </c>
      <c r="K18" s="197">
        <v>1</v>
      </c>
      <c r="L18" s="198" t="s">
        <v>160</v>
      </c>
      <c r="M18" s="199">
        <v>5953500</v>
      </c>
      <c r="N18" s="200" t="s">
        <v>161</v>
      </c>
      <c r="O18" s="207">
        <v>0</v>
      </c>
      <c r="P18" s="201">
        <v>0</v>
      </c>
      <c r="Q18" s="201">
        <v>1760500</v>
      </c>
      <c r="R18" s="201">
        <v>0</v>
      </c>
      <c r="S18" s="208">
        <v>1584900</v>
      </c>
      <c r="T18" s="201">
        <v>1</v>
      </c>
      <c r="U18" s="201">
        <v>2534000</v>
      </c>
      <c r="V18" s="199">
        <f t="shared" si="1"/>
        <v>1</v>
      </c>
      <c r="W18" s="199">
        <f>O18+Q18+S18+U18</f>
        <v>5879400</v>
      </c>
      <c r="X18" s="202">
        <f>V18/K18*100%</f>
        <v>1</v>
      </c>
      <c r="Y18" s="202">
        <f t="shared" si="2"/>
        <v>0.98755353993449235</v>
      </c>
      <c r="Z18" s="199">
        <f t="shared" si="3"/>
        <v>1</v>
      </c>
      <c r="AA18" s="199">
        <f t="shared" si="0"/>
        <v>5879400</v>
      </c>
      <c r="AB18" s="203">
        <f t="shared" si="4"/>
        <v>0</v>
      </c>
      <c r="AC18" s="204">
        <f t="shared" si="4"/>
        <v>0</v>
      </c>
      <c r="AD18" s="205"/>
      <c r="AE18" s="38"/>
    </row>
    <row r="19" spans="1:37" ht="99.75" customHeight="1" x14ac:dyDescent="0.25">
      <c r="A19" s="75"/>
      <c r="B19" s="76"/>
      <c r="C19" s="76"/>
      <c r="D19" s="76"/>
      <c r="E19" s="193" t="s">
        <v>165</v>
      </c>
      <c r="F19" s="209" t="s">
        <v>166</v>
      </c>
      <c r="G19" s="79">
        <v>0</v>
      </c>
      <c r="H19" s="80">
        <v>0</v>
      </c>
      <c r="I19" s="195">
        <v>0</v>
      </c>
      <c r="J19" s="196">
        <v>0</v>
      </c>
      <c r="K19" s="197">
        <v>1</v>
      </c>
      <c r="L19" s="210" t="s">
        <v>160</v>
      </c>
      <c r="M19" s="199">
        <v>5575500</v>
      </c>
      <c r="N19" s="200" t="s">
        <v>161</v>
      </c>
      <c r="O19" s="201">
        <v>0</v>
      </c>
      <c r="P19" s="201">
        <v>1</v>
      </c>
      <c r="Q19" s="201">
        <v>2702000</v>
      </c>
      <c r="R19" s="201">
        <v>0</v>
      </c>
      <c r="S19" s="208">
        <v>528000</v>
      </c>
      <c r="T19" s="201">
        <v>0</v>
      </c>
      <c r="U19" s="201">
        <v>2235500</v>
      </c>
      <c r="V19" s="199">
        <f t="shared" si="1"/>
        <v>1</v>
      </c>
      <c r="W19" s="199">
        <f>O19+Q19+S19+U19</f>
        <v>5465500</v>
      </c>
      <c r="X19" s="202">
        <f t="shared" ref="X19:X22" si="5">V19/K19*100%</f>
        <v>1</v>
      </c>
      <c r="Y19" s="202">
        <f t="shared" si="2"/>
        <v>0.98027082772845486</v>
      </c>
      <c r="Z19" s="199">
        <f t="shared" si="3"/>
        <v>1</v>
      </c>
      <c r="AA19" s="199">
        <f t="shared" si="0"/>
        <v>5465500</v>
      </c>
      <c r="AB19" s="203">
        <f t="shared" si="4"/>
        <v>0</v>
      </c>
      <c r="AC19" s="204">
        <f t="shared" si="4"/>
        <v>0</v>
      </c>
      <c r="AD19" s="205"/>
      <c r="AE19" s="38"/>
    </row>
    <row r="20" spans="1:37" ht="99.75" customHeight="1" x14ac:dyDescent="0.25">
      <c r="A20" s="75"/>
      <c r="B20" s="76"/>
      <c r="C20" s="76"/>
      <c r="D20" s="76"/>
      <c r="E20" s="193" t="s">
        <v>167</v>
      </c>
      <c r="F20" s="211" t="s">
        <v>168</v>
      </c>
      <c r="G20" s="79">
        <v>0</v>
      </c>
      <c r="H20" s="80">
        <v>0</v>
      </c>
      <c r="I20" s="195">
        <v>0</v>
      </c>
      <c r="J20" s="196">
        <v>0</v>
      </c>
      <c r="K20" s="197">
        <v>1</v>
      </c>
      <c r="L20" s="198" t="s">
        <v>160</v>
      </c>
      <c r="M20" s="199">
        <v>3092200</v>
      </c>
      <c r="N20" s="200" t="s">
        <v>161</v>
      </c>
      <c r="O20" s="207">
        <v>0</v>
      </c>
      <c r="P20" s="201"/>
      <c r="Q20" s="201">
        <v>0</v>
      </c>
      <c r="R20" s="201"/>
      <c r="S20" s="208">
        <v>1630000</v>
      </c>
      <c r="T20" s="201">
        <v>1</v>
      </c>
      <c r="U20" s="201">
        <v>1428000</v>
      </c>
      <c r="V20" s="199">
        <f t="shared" si="1"/>
        <v>1</v>
      </c>
      <c r="W20" s="199">
        <f>SUM(O20,Q20,S20,U20)</f>
        <v>3058000</v>
      </c>
      <c r="X20" s="202">
        <f t="shared" si="5"/>
        <v>1</v>
      </c>
      <c r="Y20" s="202">
        <f>W20/M20*100%</f>
        <v>0.98893991333031495</v>
      </c>
      <c r="Z20" s="199">
        <f t="shared" si="3"/>
        <v>1</v>
      </c>
      <c r="AA20" s="199">
        <f t="shared" si="0"/>
        <v>3058000</v>
      </c>
      <c r="AB20" s="203">
        <f t="shared" si="4"/>
        <v>0</v>
      </c>
      <c r="AC20" s="204">
        <f t="shared" si="4"/>
        <v>0</v>
      </c>
      <c r="AD20" s="205"/>
      <c r="AE20" s="38"/>
    </row>
    <row r="21" spans="1:37" ht="117" customHeight="1" x14ac:dyDescent="0.25">
      <c r="A21" s="75"/>
      <c r="B21" s="76"/>
      <c r="C21" s="76"/>
      <c r="D21" s="76"/>
      <c r="E21" s="193" t="s">
        <v>169</v>
      </c>
      <c r="F21" s="212" t="s">
        <v>170</v>
      </c>
      <c r="G21" s="79">
        <v>0</v>
      </c>
      <c r="H21" s="80">
        <v>0</v>
      </c>
      <c r="I21" s="195">
        <v>0</v>
      </c>
      <c r="J21" s="196">
        <v>0</v>
      </c>
      <c r="K21" s="197">
        <v>2</v>
      </c>
      <c r="L21" s="198" t="s">
        <v>160</v>
      </c>
      <c r="M21" s="199">
        <v>56527500</v>
      </c>
      <c r="N21" s="200" t="s">
        <v>161</v>
      </c>
      <c r="O21" s="201">
        <v>4570000</v>
      </c>
      <c r="P21" s="201">
        <v>1</v>
      </c>
      <c r="Q21" s="201">
        <v>6843000</v>
      </c>
      <c r="R21" s="201">
        <v>0</v>
      </c>
      <c r="S21" s="208">
        <f>4690000+6041841</f>
        <v>10731841</v>
      </c>
      <c r="T21" s="201">
        <v>1</v>
      </c>
      <c r="U21" s="201">
        <v>34175460</v>
      </c>
      <c r="V21" s="199">
        <f>P21+T21</f>
        <v>2</v>
      </c>
      <c r="W21" s="199">
        <f>O21+Q21+S21+U21</f>
        <v>56320301</v>
      </c>
      <c r="X21" s="202">
        <f>V21/K21*100%</f>
        <v>1</v>
      </c>
      <c r="Y21" s="202">
        <f>W21/M21*100%</f>
        <v>0.99633454513289987</v>
      </c>
      <c r="Z21" s="199">
        <f t="shared" si="3"/>
        <v>2</v>
      </c>
      <c r="AA21" s="199">
        <f t="shared" si="0"/>
        <v>56320301</v>
      </c>
      <c r="AB21" s="203">
        <f t="shared" si="4"/>
        <v>0</v>
      </c>
      <c r="AC21" s="204">
        <f t="shared" si="4"/>
        <v>0</v>
      </c>
      <c r="AD21" s="205"/>
      <c r="AE21" s="38"/>
    </row>
    <row r="22" spans="1:37" ht="99.75" customHeight="1" x14ac:dyDescent="0.25">
      <c r="A22" s="75"/>
      <c r="B22" s="76"/>
      <c r="C22" s="76"/>
      <c r="D22" s="76"/>
      <c r="E22" s="193" t="s">
        <v>20</v>
      </c>
      <c r="F22" s="213" t="s">
        <v>171</v>
      </c>
      <c r="G22" s="79">
        <v>0</v>
      </c>
      <c r="H22" s="80">
        <v>0</v>
      </c>
      <c r="I22" s="195">
        <v>0</v>
      </c>
      <c r="J22" s="196">
        <v>0</v>
      </c>
      <c r="K22" s="197">
        <v>1</v>
      </c>
      <c r="L22" s="198" t="s">
        <v>316</v>
      </c>
      <c r="M22" s="199">
        <v>6025000</v>
      </c>
      <c r="N22" s="200" t="s">
        <v>161</v>
      </c>
      <c r="O22" s="201">
        <v>0</v>
      </c>
      <c r="P22" s="201">
        <v>0</v>
      </c>
      <c r="Q22" s="201">
        <v>0</v>
      </c>
      <c r="R22" s="201">
        <v>0</v>
      </c>
      <c r="S22" s="208">
        <v>2369000</v>
      </c>
      <c r="T22" s="201">
        <v>1</v>
      </c>
      <c r="U22" s="201">
        <v>3623400</v>
      </c>
      <c r="V22" s="199">
        <f t="shared" si="1"/>
        <v>1</v>
      </c>
      <c r="W22" s="199">
        <f>O22+Q22+S22+U22</f>
        <v>5992400</v>
      </c>
      <c r="X22" s="202">
        <f t="shared" si="5"/>
        <v>1</v>
      </c>
      <c r="Y22" s="202">
        <f t="shared" si="2"/>
        <v>0.99458921161825731</v>
      </c>
      <c r="Z22" s="199">
        <f t="shared" si="3"/>
        <v>1</v>
      </c>
      <c r="AA22" s="199">
        <f t="shared" si="0"/>
        <v>5992400</v>
      </c>
      <c r="AB22" s="203">
        <f t="shared" si="4"/>
        <v>0</v>
      </c>
      <c r="AC22" s="204">
        <f t="shared" si="4"/>
        <v>0</v>
      </c>
      <c r="AD22" s="205"/>
      <c r="AE22" s="38"/>
    </row>
    <row r="23" spans="1:37" s="74" customFormat="1" ht="66.95" customHeight="1" x14ac:dyDescent="0.25">
      <c r="A23" s="58"/>
      <c r="B23" s="59"/>
      <c r="C23" s="59"/>
      <c r="D23" s="59"/>
      <c r="E23" s="182" t="s">
        <v>172</v>
      </c>
      <c r="F23" s="214"/>
      <c r="G23" s="61"/>
      <c r="H23" s="62">
        <f>0+H24+H25+H26</f>
        <v>0</v>
      </c>
      <c r="I23" s="183"/>
      <c r="J23" s="184">
        <f>0+J24+J25+J26</f>
        <v>0</v>
      </c>
      <c r="K23" s="185"/>
      <c r="L23" s="186"/>
      <c r="M23" s="187">
        <f>0+M24+M25+M26</f>
        <v>3942255578</v>
      </c>
      <c r="N23" s="188"/>
      <c r="O23" s="187">
        <f>0+O24+O25+O26</f>
        <v>716485818</v>
      </c>
      <c r="P23" s="188"/>
      <c r="Q23" s="187">
        <f>0+Q24+Q25+Q26</f>
        <v>1241682931</v>
      </c>
      <c r="R23" s="188"/>
      <c r="S23" s="187">
        <f>0+S24+S25+S26</f>
        <v>828550531</v>
      </c>
      <c r="T23" s="188"/>
      <c r="U23" s="187">
        <f>0+U24+U25+U26</f>
        <v>1020095138</v>
      </c>
      <c r="V23" s="187"/>
      <c r="W23" s="187">
        <f>0+W24+W25+W26</f>
        <v>3806814418</v>
      </c>
      <c r="X23" s="187">
        <v>0</v>
      </c>
      <c r="Y23" s="189">
        <f>W23/M23*100%</f>
        <v>0.96564373939735471</v>
      </c>
      <c r="Z23" s="190"/>
      <c r="AA23" s="187">
        <f t="shared" si="0"/>
        <v>3806814418</v>
      </c>
      <c r="AB23" s="191"/>
      <c r="AC23" s="187">
        <f>0+AC24+AC25+AC26</f>
        <v>0</v>
      </c>
      <c r="AD23" s="192"/>
      <c r="AE23" s="71"/>
      <c r="AF23" s="72"/>
      <c r="AG23" s="72"/>
      <c r="AH23" s="73"/>
      <c r="AI23" s="73"/>
      <c r="AJ23" s="73"/>
      <c r="AK23" s="72"/>
    </row>
    <row r="24" spans="1:37" ht="50.25" customHeight="1" x14ac:dyDescent="0.25">
      <c r="A24" s="75"/>
      <c r="B24" s="76"/>
      <c r="C24" s="76"/>
      <c r="D24" s="76"/>
      <c r="E24" s="193" t="s">
        <v>24</v>
      </c>
      <c r="F24" s="193" t="s">
        <v>173</v>
      </c>
      <c r="G24" s="79">
        <v>0</v>
      </c>
      <c r="H24" s="80">
        <v>0</v>
      </c>
      <c r="I24" s="195">
        <v>0</v>
      </c>
      <c r="J24" s="196">
        <v>0</v>
      </c>
      <c r="K24" s="197">
        <v>14</v>
      </c>
      <c r="L24" s="198" t="s">
        <v>174</v>
      </c>
      <c r="M24" s="199">
        <v>3839999678</v>
      </c>
      <c r="N24" s="200">
        <v>3</v>
      </c>
      <c r="O24" s="201">
        <v>700381818</v>
      </c>
      <c r="P24" s="201">
        <v>3</v>
      </c>
      <c r="Q24" s="201">
        <v>1213162931</v>
      </c>
      <c r="R24" s="200">
        <v>3</v>
      </c>
      <c r="S24" s="208">
        <f>539911754+269955877</f>
        <v>809867631</v>
      </c>
      <c r="T24" s="201">
        <v>5</v>
      </c>
      <c r="U24" s="201">
        <v>981427838</v>
      </c>
      <c r="V24" s="199">
        <f>N24+P24+R24+T24</f>
        <v>14</v>
      </c>
      <c r="W24" s="199">
        <f>O24+Q24+S24+U24</f>
        <v>3704840218</v>
      </c>
      <c r="X24" s="202">
        <f>V24/K24*100%</f>
        <v>1</v>
      </c>
      <c r="Y24" s="202">
        <f>W24/M24*100%</f>
        <v>0.96480222100685287</v>
      </c>
      <c r="Z24" s="199">
        <f>V24+I24</f>
        <v>14</v>
      </c>
      <c r="AA24" s="199">
        <f>W24+J24</f>
        <v>3704840218</v>
      </c>
      <c r="AB24" s="203">
        <f t="shared" ref="AB24:AC26" si="6">IFERROR(Z24/G24,0)</f>
        <v>0</v>
      </c>
      <c r="AC24" s="204">
        <f t="shared" si="6"/>
        <v>0</v>
      </c>
      <c r="AD24" s="205"/>
      <c r="AE24" s="38"/>
    </row>
    <row r="25" spans="1:37" ht="74.45" customHeight="1" x14ac:dyDescent="0.25">
      <c r="A25" s="75"/>
      <c r="B25" s="76"/>
      <c r="C25" s="76"/>
      <c r="D25" s="76"/>
      <c r="E25" s="193" t="s">
        <v>175</v>
      </c>
      <c r="F25" s="193" t="s">
        <v>176</v>
      </c>
      <c r="G25" s="79">
        <v>0</v>
      </c>
      <c r="H25" s="80">
        <v>0</v>
      </c>
      <c r="I25" s="195">
        <v>0</v>
      </c>
      <c r="J25" s="196">
        <v>0</v>
      </c>
      <c r="K25" s="197">
        <v>1</v>
      </c>
      <c r="L25" s="198" t="s">
        <v>160</v>
      </c>
      <c r="M25" s="199">
        <v>42436300</v>
      </c>
      <c r="N25" s="215" t="s">
        <v>161</v>
      </c>
      <c r="O25" s="201">
        <v>7664000</v>
      </c>
      <c r="P25" s="201">
        <v>0</v>
      </c>
      <c r="Q25" s="201">
        <v>11640000</v>
      </c>
      <c r="R25" s="200" t="s">
        <v>161</v>
      </c>
      <c r="S25" s="208">
        <v>7641400</v>
      </c>
      <c r="T25" s="201">
        <v>1</v>
      </c>
      <c r="U25" s="201">
        <v>15341300</v>
      </c>
      <c r="V25" s="199">
        <f>T25</f>
        <v>1</v>
      </c>
      <c r="W25" s="199">
        <f>O25+Q25+S25+U25</f>
        <v>42286700</v>
      </c>
      <c r="X25" s="202">
        <f>V25/K25*100%</f>
        <v>1</v>
      </c>
      <c r="Y25" s="202">
        <f t="shared" si="2"/>
        <v>0.99647471622172523</v>
      </c>
      <c r="Z25" s="199">
        <f>V25+I25</f>
        <v>1</v>
      </c>
      <c r="AA25" s="199">
        <f t="shared" si="0"/>
        <v>42286700</v>
      </c>
      <c r="AB25" s="203">
        <f t="shared" si="6"/>
        <v>0</v>
      </c>
      <c r="AC25" s="204">
        <f t="shared" si="6"/>
        <v>0</v>
      </c>
      <c r="AD25" s="205"/>
      <c r="AE25" s="38"/>
    </row>
    <row r="26" spans="1:37" ht="105.6" customHeight="1" x14ac:dyDescent="0.25">
      <c r="A26" s="75"/>
      <c r="B26" s="76"/>
      <c r="C26" s="76"/>
      <c r="D26" s="76"/>
      <c r="E26" s="193" t="s">
        <v>177</v>
      </c>
      <c r="F26" s="193" t="s">
        <v>178</v>
      </c>
      <c r="G26" s="79">
        <v>0</v>
      </c>
      <c r="H26" s="80">
        <v>0</v>
      </c>
      <c r="I26" s="195">
        <v>0</v>
      </c>
      <c r="J26" s="196">
        <v>0</v>
      </c>
      <c r="K26" s="197">
        <v>2</v>
      </c>
      <c r="L26" s="198" t="s">
        <v>160</v>
      </c>
      <c r="M26" s="199">
        <v>59819600</v>
      </c>
      <c r="N26" s="215" t="s">
        <v>161</v>
      </c>
      <c r="O26" s="201">
        <v>8440000</v>
      </c>
      <c r="P26" s="201">
        <v>1</v>
      </c>
      <c r="Q26" s="201">
        <v>16880000</v>
      </c>
      <c r="R26" s="200" t="s">
        <v>161</v>
      </c>
      <c r="S26" s="208">
        <v>11041500</v>
      </c>
      <c r="T26" s="201">
        <v>1</v>
      </c>
      <c r="U26" s="201">
        <v>23326000</v>
      </c>
      <c r="V26" s="199">
        <f>P26+T26</f>
        <v>2</v>
      </c>
      <c r="W26" s="199">
        <f>O26+Q26+S26+U26</f>
        <v>59687500</v>
      </c>
      <c r="X26" s="202">
        <f>V26/K26*100%</f>
        <v>1</v>
      </c>
      <c r="Y26" s="202">
        <f t="shared" si="2"/>
        <v>0.99779169369236842</v>
      </c>
      <c r="Z26" s="199">
        <f>V26+I26</f>
        <v>2</v>
      </c>
      <c r="AA26" s="199">
        <f t="shared" si="0"/>
        <v>59687500</v>
      </c>
      <c r="AB26" s="203">
        <f t="shared" si="6"/>
        <v>0</v>
      </c>
      <c r="AC26" s="204">
        <f t="shared" si="6"/>
        <v>0</v>
      </c>
      <c r="AD26" s="205"/>
      <c r="AE26" s="38"/>
    </row>
    <row r="27" spans="1:37" s="74" customFormat="1" ht="80.099999999999994" customHeight="1" x14ac:dyDescent="0.25">
      <c r="A27" s="58"/>
      <c r="B27" s="59"/>
      <c r="C27" s="59"/>
      <c r="D27" s="59"/>
      <c r="E27" s="182" t="s">
        <v>179</v>
      </c>
      <c r="F27" s="214"/>
      <c r="G27" s="61"/>
      <c r="H27" s="62">
        <f>0+H28</f>
        <v>0</v>
      </c>
      <c r="I27" s="183"/>
      <c r="J27" s="184">
        <f>0+J28</f>
        <v>0</v>
      </c>
      <c r="K27" s="185"/>
      <c r="L27" s="186"/>
      <c r="M27" s="187">
        <f>0+M28</f>
        <v>28200000</v>
      </c>
      <c r="N27" s="188"/>
      <c r="O27" s="187">
        <f>0+O28</f>
        <v>4700000</v>
      </c>
      <c r="P27" s="188"/>
      <c r="Q27" s="187">
        <f>0+Q28</f>
        <v>9400000</v>
      </c>
      <c r="R27" s="188"/>
      <c r="S27" s="187">
        <f>0+S28</f>
        <v>4700000</v>
      </c>
      <c r="T27" s="188"/>
      <c r="U27" s="187">
        <f>0+U28</f>
        <v>9400000</v>
      </c>
      <c r="V27" s="187"/>
      <c r="W27" s="187">
        <f>O27+Q27+S27+U27</f>
        <v>28200000</v>
      </c>
      <c r="X27" s="189"/>
      <c r="Y27" s="189">
        <f t="shared" si="2"/>
        <v>1</v>
      </c>
      <c r="Z27" s="190"/>
      <c r="AA27" s="187">
        <f t="shared" si="0"/>
        <v>28200000</v>
      </c>
      <c r="AB27" s="191"/>
      <c r="AC27" s="187">
        <f>0+AC28</f>
        <v>0</v>
      </c>
      <c r="AD27" s="192"/>
      <c r="AE27" s="71"/>
      <c r="AF27" s="72"/>
      <c r="AG27" s="72"/>
      <c r="AH27" s="73"/>
      <c r="AI27" s="73"/>
      <c r="AJ27" s="73"/>
      <c r="AK27" s="72"/>
    </row>
    <row r="28" spans="1:37" ht="66" customHeight="1" x14ac:dyDescent="0.25">
      <c r="A28" s="75"/>
      <c r="B28" s="76"/>
      <c r="C28" s="76"/>
      <c r="D28" s="76"/>
      <c r="E28" s="193" t="s">
        <v>180</v>
      </c>
      <c r="F28" s="212" t="s">
        <v>181</v>
      </c>
      <c r="G28" s="79">
        <v>0</v>
      </c>
      <c r="H28" s="80">
        <v>0</v>
      </c>
      <c r="I28" s="195">
        <v>0</v>
      </c>
      <c r="J28" s="196">
        <v>0</v>
      </c>
      <c r="K28" s="197">
        <v>1</v>
      </c>
      <c r="L28" s="198" t="s">
        <v>160</v>
      </c>
      <c r="M28" s="199">
        <v>28200000</v>
      </c>
      <c r="N28" s="200" t="s">
        <v>161</v>
      </c>
      <c r="O28" s="201">
        <v>4700000</v>
      </c>
      <c r="P28" s="201">
        <v>0</v>
      </c>
      <c r="Q28" s="201">
        <v>9400000</v>
      </c>
      <c r="R28" s="201">
        <v>0</v>
      </c>
      <c r="S28" s="201">
        <v>4700000</v>
      </c>
      <c r="T28" s="201">
        <v>1</v>
      </c>
      <c r="U28" s="201">
        <v>9400000</v>
      </c>
      <c r="V28" s="199">
        <f>SUM(N28,P28,R28,T28)</f>
        <v>1</v>
      </c>
      <c r="W28" s="199">
        <f>O28+Q28+S28+U28</f>
        <v>28200000</v>
      </c>
      <c r="X28" s="202">
        <f>V28/K28*100%</f>
        <v>1</v>
      </c>
      <c r="Y28" s="202">
        <f t="shared" si="2"/>
        <v>1</v>
      </c>
      <c r="Z28" s="199">
        <f>V28+I28</f>
        <v>1</v>
      </c>
      <c r="AA28" s="199">
        <f t="shared" si="0"/>
        <v>28200000</v>
      </c>
      <c r="AB28" s="203">
        <f>IFERROR(Z28/G28,0)</f>
        <v>0</v>
      </c>
      <c r="AC28" s="204">
        <f>IFERROR(AA28/H28,0)</f>
        <v>0</v>
      </c>
      <c r="AD28" s="205"/>
      <c r="AE28" s="38"/>
    </row>
    <row r="29" spans="1:37" s="74" customFormat="1" ht="44.25" customHeight="1" x14ac:dyDescent="0.25">
      <c r="A29" s="58"/>
      <c r="B29" s="59"/>
      <c r="C29" s="59"/>
      <c r="D29" s="59"/>
      <c r="E29" s="182" t="s">
        <v>182</v>
      </c>
      <c r="F29" s="214"/>
      <c r="G29" s="61"/>
      <c r="H29" s="62" t="e">
        <f>0+#REF!</f>
        <v>#REF!</v>
      </c>
      <c r="I29" s="183"/>
      <c r="J29" s="184" t="e">
        <f>0+#REF!</f>
        <v>#REF!</v>
      </c>
      <c r="K29" s="185"/>
      <c r="L29" s="186"/>
      <c r="M29" s="187">
        <f>M30</f>
        <v>80423200</v>
      </c>
      <c r="N29" s="188"/>
      <c r="O29" s="187">
        <f>Q307+O30</f>
        <v>6747000</v>
      </c>
      <c r="P29" s="188"/>
      <c r="Q29" s="187">
        <f>0+Q30</f>
        <v>0</v>
      </c>
      <c r="R29" s="188"/>
      <c r="S29" s="187">
        <f>0+S30</f>
        <v>31516722</v>
      </c>
      <c r="T29" s="188"/>
      <c r="U29" s="187">
        <f>U30</f>
        <v>39050000</v>
      </c>
      <c r="V29" s="187"/>
      <c r="W29" s="187">
        <f>W30</f>
        <v>77313722</v>
      </c>
      <c r="X29" s="189"/>
      <c r="Y29" s="189">
        <f>Y30</f>
        <v>0.96133605725710991</v>
      </c>
      <c r="Z29" s="190"/>
      <c r="AA29" s="187" t="e">
        <f t="shared" si="0"/>
        <v>#REF!</v>
      </c>
      <c r="AB29" s="191"/>
      <c r="AC29" s="187" t="e">
        <f>0+#REF!+AC30</f>
        <v>#REF!</v>
      </c>
      <c r="AD29" s="192"/>
      <c r="AE29" s="71"/>
      <c r="AF29" s="72"/>
      <c r="AG29" s="72"/>
      <c r="AH29" s="73"/>
      <c r="AI29" s="73"/>
      <c r="AJ29" s="73"/>
      <c r="AK29" s="72"/>
    </row>
    <row r="30" spans="1:37" ht="87.95" customHeight="1" x14ac:dyDescent="0.25">
      <c r="A30" s="75"/>
      <c r="B30" s="76"/>
      <c r="C30" s="216"/>
      <c r="D30" s="76"/>
      <c r="E30" s="217" t="s">
        <v>186</v>
      </c>
      <c r="F30" s="217" t="s">
        <v>187</v>
      </c>
      <c r="G30" s="79">
        <v>0</v>
      </c>
      <c r="H30" s="80">
        <v>0</v>
      </c>
      <c r="I30" s="195">
        <v>0</v>
      </c>
      <c r="J30" s="196">
        <v>0</v>
      </c>
      <c r="K30" s="197">
        <v>6</v>
      </c>
      <c r="L30" s="198" t="s">
        <v>185</v>
      </c>
      <c r="M30" s="199">
        <v>80423200</v>
      </c>
      <c r="N30" s="200">
        <v>1</v>
      </c>
      <c r="O30" s="201">
        <v>6747000</v>
      </c>
      <c r="P30" s="201">
        <v>0</v>
      </c>
      <c r="Q30" s="201">
        <v>0</v>
      </c>
      <c r="R30" s="201">
        <v>5</v>
      </c>
      <c r="S30" s="201">
        <v>31516722</v>
      </c>
      <c r="T30" s="201">
        <v>0</v>
      </c>
      <c r="U30" s="201">
        <v>39050000</v>
      </c>
      <c r="V30" s="199">
        <f>SUM(N30,P30,R30,T30)</f>
        <v>6</v>
      </c>
      <c r="W30" s="199">
        <f>SUM(O30,Q30,S30,U30)</f>
        <v>77313722</v>
      </c>
      <c r="X30" s="202">
        <f>V30/K30*100%</f>
        <v>1</v>
      </c>
      <c r="Y30" s="202">
        <f t="shared" si="2"/>
        <v>0.96133605725710991</v>
      </c>
      <c r="Z30" s="199">
        <f>V30+I30</f>
        <v>6</v>
      </c>
      <c r="AA30" s="199">
        <f t="shared" si="0"/>
        <v>77313722</v>
      </c>
      <c r="AB30" s="203">
        <f>IFERROR(Z30/G30,0)</f>
        <v>0</v>
      </c>
      <c r="AC30" s="204">
        <f>IFERROR(AA30/H30,0)</f>
        <v>0</v>
      </c>
      <c r="AD30" s="205"/>
      <c r="AE30" s="21"/>
      <c r="AF30" s="21"/>
      <c r="AG30" s="21"/>
      <c r="AH30" s="21"/>
      <c r="AI30" s="21"/>
      <c r="AJ30" s="21"/>
      <c r="AK30" s="21"/>
    </row>
    <row r="31" spans="1:37" ht="78" customHeight="1" x14ac:dyDescent="0.25">
      <c r="A31" s="75"/>
      <c r="B31" s="76"/>
      <c r="C31" s="59"/>
      <c r="D31" s="59"/>
      <c r="E31" s="182" t="s">
        <v>42</v>
      </c>
      <c r="F31" s="214"/>
      <c r="G31" s="61"/>
      <c r="H31" s="62">
        <f>0+H32+H33+H34+H35+H36</f>
        <v>0</v>
      </c>
      <c r="I31" s="183"/>
      <c r="J31" s="184">
        <f>0+J32+J33+J34+J35+J36</f>
        <v>0</v>
      </c>
      <c r="K31" s="185"/>
      <c r="L31" s="186"/>
      <c r="M31" s="187">
        <f>0+M32+M33+M34+M35+M36</f>
        <v>289286810</v>
      </c>
      <c r="N31" s="188"/>
      <c r="O31" s="187">
        <f>0+O32+O33+O34+O35+O36</f>
        <v>52961386</v>
      </c>
      <c r="P31" s="188"/>
      <c r="Q31" s="187">
        <f>0+Q32+Q33+Q34+Q35+Q36</f>
        <v>70760320</v>
      </c>
      <c r="R31" s="188"/>
      <c r="S31" s="187">
        <f>0+S32+S33+S34+S35+S36</f>
        <v>55693911</v>
      </c>
      <c r="T31" s="188"/>
      <c r="U31" s="187">
        <f>0+U32+U33+U34+U35+U36</f>
        <v>109369522</v>
      </c>
      <c r="V31" s="187"/>
      <c r="W31" s="187">
        <f>0+W32+W33+W34+W35+W36</f>
        <v>288785139</v>
      </c>
      <c r="X31" s="189"/>
      <c r="Y31" s="189">
        <f t="shared" si="2"/>
        <v>0.99826583521039203</v>
      </c>
      <c r="Z31" s="190"/>
      <c r="AA31" s="187">
        <f t="shared" si="0"/>
        <v>288785139</v>
      </c>
      <c r="AB31" s="191"/>
      <c r="AC31" s="187">
        <f>0+AC32+AC33+AC34+AC35+AC36</f>
        <v>0</v>
      </c>
      <c r="AD31" s="192"/>
      <c r="AE31" s="38"/>
    </row>
    <row r="32" spans="1:37" s="74" customFormat="1" ht="105" customHeight="1" x14ac:dyDescent="0.25">
      <c r="A32" s="58"/>
      <c r="B32" s="59"/>
      <c r="C32" s="218"/>
      <c r="D32" s="218"/>
      <c r="E32" s="193" t="s">
        <v>188</v>
      </c>
      <c r="F32" s="212" t="s">
        <v>189</v>
      </c>
      <c r="G32" s="79">
        <v>0</v>
      </c>
      <c r="H32" s="80">
        <v>0</v>
      </c>
      <c r="I32" s="195">
        <v>0</v>
      </c>
      <c r="J32" s="196">
        <v>0</v>
      </c>
      <c r="K32" s="197">
        <v>1</v>
      </c>
      <c r="L32" s="198" t="s">
        <v>317</v>
      </c>
      <c r="M32" s="199">
        <v>4314550</v>
      </c>
      <c r="N32" s="200" t="s">
        <v>161</v>
      </c>
      <c r="O32" s="207">
        <v>0</v>
      </c>
      <c r="P32" s="200" t="s">
        <v>161</v>
      </c>
      <c r="Q32" s="201">
        <v>1193260</v>
      </c>
      <c r="R32" s="200">
        <v>1</v>
      </c>
      <c r="S32" s="201">
        <v>2966000</v>
      </c>
      <c r="T32" s="201">
        <v>0</v>
      </c>
      <c r="U32" s="201">
        <v>0</v>
      </c>
      <c r="V32" s="199">
        <f>P32+R32+T32</f>
        <v>1</v>
      </c>
      <c r="W32" s="199">
        <f>SUM(Q32,S32,U32)</f>
        <v>4159260</v>
      </c>
      <c r="X32" s="202">
        <f>V32/K32*100%</f>
        <v>1</v>
      </c>
      <c r="Y32" s="202">
        <f t="shared" si="2"/>
        <v>0.96400783395719136</v>
      </c>
      <c r="Z32" s="199">
        <f>V32+I32</f>
        <v>1</v>
      </c>
      <c r="AA32" s="199">
        <f t="shared" si="0"/>
        <v>4159260</v>
      </c>
      <c r="AB32" s="203">
        <f t="shared" ref="AB32:AC36" si="7">IFERROR(Z32/G32,0)</f>
        <v>0</v>
      </c>
      <c r="AC32" s="204">
        <f t="shared" si="7"/>
        <v>0</v>
      </c>
      <c r="AD32" s="205"/>
      <c r="AE32" s="71"/>
      <c r="AF32" s="72"/>
      <c r="AG32" s="72"/>
      <c r="AH32" s="73"/>
      <c r="AI32" s="73"/>
      <c r="AJ32" s="73"/>
      <c r="AK32" s="72"/>
    </row>
    <row r="33" spans="1:37" ht="75" customHeight="1" x14ac:dyDescent="0.25">
      <c r="A33" s="75"/>
      <c r="B33" s="76"/>
      <c r="C33" s="76"/>
      <c r="D33" s="76"/>
      <c r="E33" s="193" t="s">
        <v>190</v>
      </c>
      <c r="F33" s="213" t="s">
        <v>191</v>
      </c>
      <c r="G33" s="79">
        <v>0</v>
      </c>
      <c r="H33" s="80">
        <v>0</v>
      </c>
      <c r="I33" s="195">
        <v>0</v>
      </c>
      <c r="J33" s="196">
        <v>0</v>
      </c>
      <c r="K33" s="197">
        <v>1</v>
      </c>
      <c r="L33" s="198" t="s">
        <v>317</v>
      </c>
      <c r="M33" s="199">
        <v>53862460</v>
      </c>
      <c r="N33" s="200" t="s">
        <v>161</v>
      </c>
      <c r="O33" s="207">
        <v>0</v>
      </c>
      <c r="P33" s="201">
        <v>1</v>
      </c>
      <c r="Q33" s="201">
        <v>23626900</v>
      </c>
      <c r="R33" s="200" t="s">
        <v>161</v>
      </c>
      <c r="S33" s="201">
        <v>7546000</v>
      </c>
      <c r="T33" s="201">
        <v>0</v>
      </c>
      <c r="U33" s="201">
        <v>22631000</v>
      </c>
      <c r="V33" s="199">
        <f>P33+R33+T33</f>
        <v>1</v>
      </c>
      <c r="W33" s="199">
        <f>SUM(Q33,S33,U33)</f>
        <v>53803900</v>
      </c>
      <c r="X33" s="202">
        <f>V33/K33*100%</f>
        <v>1</v>
      </c>
      <c r="Y33" s="202">
        <f t="shared" si="2"/>
        <v>0.99891278638220382</v>
      </c>
      <c r="Z33" s="199">
        <f>V33+I33</f>
        <v>1</v>
      </c>
      <c r="AA33" s="199">
        <f t="shared" si="0"/>
        <v>53803900</v>
      </c>
      <c r="AB33" s="203">
        <f t="shared" si="7"/>
        <v>0</v>
      </c>
      <c r="AC33" s="204">
        <f t="shared" si="7"/>
        <v>0</v>
      </c>
      <c r="AD33" s="205"/>
      <c r="AE33" s="38"/>
    </row>
    <row r="34" spans="1:37" ht="69" customHeight="1" x14ac:dyDescent="0.25">
      <c r="A34" s="75"/>
      <c r="B34" s="76"/>
      <c r="C34" s="76"/>
      <c r="D34" s="76"/>
      <c r="E34" s="193" t="s">
        <v>48</v>
      </c>
      <c r="F34" s="212" t="s">
        <v>192</v>
      </c>
      <c r="G34" s="79">
        <v>0</v>
      </c>
      <c r="H34" s="80">
        <v>0</v>
      </c>
      <c r="I34" s="195">
        <v>0</v>
      </c>
      <c r="J34" s="196">
        <v>0</v>
      </c>
      <c r="K34" s="197">
        <v>1</v>
      </c>
      <c r="L34" s="198" t="s">
        <v>317</v>
      </c>
      <c r="M34" s="199">
        <v>47531100</v>
      </c>
      <c r="N34" s="200" t="s">
        <v>161</v>
      </c>
      <c r="O34" s="201">
        <v>2120000</v>
      </c>
      <c r="P34" s="200" t="s">
        <v>161</v>
      </c>
      <c r="Q34" s="201">
        <v>15629000</v>
      </c>
      <c r="R34" s="200" t="s">
        <v>161</v>
      </c>
      <c r="S34" s="201">
        <v>9708000</v>
      </c>
      <c r="T34" s="201">
        <v>1</v>
      </c>
      <c r="U34" s="201">
        <v>19845000</v>
      </c>
      <c r="V34" s="199">
        <f>T34</f>
        <v>1</v>
      </c>
      <c r="W34" s="199">
        <f>O34+Q34+S34+U34</f>
        <v>47302000</v>
      </c>
      <c r="X34" s="202">
        <f>V34/K34*100%</f>
        <v>1</v>
      </c>
      <c r="Y34" s="202">
        <f t="shared" si="2"/>
        <v>0.99517999793819201</v>
      </c>
      <c r="Z34" s="199">
        <f>V34+I34</f>
        <v>1</v>
      </c>
      <c r="AA34" s="199">
        <f t="shared" si="0"/>
        <v>47302000</v>
      </c>
      <c r="AB34" s="203">
        <f t="shared" si="7"/>
        <v>0</v>
      </c>
      <c r="AC34" s="204">
        <f t="shared" si="7"/>
        <v>0</v>
      </c>
      <c r="AD34" s="205"/>
      <c r="AE34" s="38"/>
    </row>
    <row r="35" spans="1:37" ht="90.75" customHeight="1" x14ac:dyDescent="0.25">
      <c r="A35" s="75"/>
      <c r="B35" s="76"/>
      <c r="C35" s="76"/>
      <c r="D35" s="76"/>
      <c r="E35" s="193" t="s">
        <v>193</v>
      </c>
      <c r="F35" s="213" t="s">
        <v>194</v>
      </c>
      <c r="G35" s="79">
        <v>0</v>
      </c>
      <c r="H35" s="80">
        <v>0</v>
      </c>
      <c r="I35" s="195">
        <v>0</v>
      </c>
      <c r="J35" s="196">
        <v>0</v>
      </c>
      <c r="K35" s="197">
        <v>1</v>
      </c>
      <c r="L35" s="198" t="s">
        <v>317</v>
      </c>
      <c r="M35" s="199">
        <v>9497700</v>
      </c>
      <c r="N35" s="200" t="s">
        <v>161</v>
      </c>
      <c r="O35" s="207">
        <v>0</v>
      </c>
      <c r="P35" s="201">
        <v>1</v>
      </c>
      <c r="Q35" s="201">
        <v>2405400</v>
      </c>
      <c r="R35" s="200" t="s">
        <v>161</v>
      </c>
      <c r="S35" s="201">
        <v>991900</v>
      </c>
      <c r="T35" s="201">
        <v>0</v>
      </c>
      <c r="U35" s="201">
        <v>6096600</v>
      </c>
      <c r="V35" s="199">
        <f>N35+P35+R35+T35</f>
        <v>1</v>
      </c>
      <c r="W35" s="199">
        <f>SUM(Q35,S35,U35)</f>
        <v>9493900</v>
      </c>
      <c r="X35" s="202">
        <f>V35/K35*100%</f>
        <v>1</v>
      </c>
      <c r="Y35" s="202">
        <f t="shared" si="2"/>
        <v>0.99959990313444302</v>
      </c>
      <c r="Z35" s="199">
        <f>V35+I35</f>
        <v>1</v>
      </c>
      <c r="AA35" s="199">
        <f t="shared" si="0"/>
        <v>9493900</v>
      </c>
      <c r="AB35" s="203">
        <f t="shared" si="7"/>
        <v>0</v>
      </c>
      <c r="AC35" s="204">
        <f t="shared" si="7"/>
        <v>0</v>
      </c>
      <c r="AD35" s="205"/>
      <c r="AE35" s="38"/>
    </row>
    <row r="36" spans="1:37" ht="84.75" customHeight="1" x14ac:dyDescent="0.25">
      <c r="A36" s="75"/>
      <c r="B36" s="76"/>
      <c r="C36" s="76"/>
      <c r="D36" s="76"/>
      <c r="E36" s="193" t="s">
        <v>195</v>
      </c>
      <c r="F36" s="212" t="s">
        <v>196</v>
      </c>
      <c r="G36" s="79">
        <v>0</v>
      </c>
      <c r="H36" s="80">
        <v>0</v>
      </c>
      <c r="I36" s="195">
        <v>0</v>
      </c>
      <c r="J36" s="196">
        <v>0</v>
      </c>
      <c r="K36" s="197">
        <v>1</v>
      </c>
      <c r="L36" s="198" t="s">
        <v>316</v>
      </c>
      <c r="M36" s="199">
        <v>174081000</v>
      </c>
      <c r="N36" s="200" t="s">
        <v>161</v>
      </c>
      <c r="O36" s="201">
        <v>50841386</v>
      </c>
      <c r="P36" s="201">
        <v>0</v>
      </c>
      <c r="Q36" s="201">
        <v>27905760</v>
      </c>
      <c r="R36" s="201">
        <v>0</v>
      </c>
      <c r="S36" s="208">
        <v>34482011</v>
      </c>
      <c r="T36" s="201">
        <v>1</v>
      </c>
      <c r="U36" s="201">
        <v>60796922</v>
      </c>
      <c r="V36" s="199">
        <f>T36</f>
        <v>1</v>
      </c>
      <c r="W36" s="199">
        <f>O36+Q36+S36+U36</f>
        <v>174026079</v>
      </c>
      <c r="X36" s="202">
        <f>V36/K36*100%</f>
        <v>1</v>
      </c>
      <c r="Y36" s="202">
        <f t="shared" si="2"/>
        <v>0.99968450893549554</v>
      </c>
      <c r="Z36" s="199">
        <f>V36+I36</f>
        <v>1</v>
      </c>
      <c r="AA36" s="199">
        <f t="shared" si="0"/>
        <v>174026079</v>
      </c>
      <c r="AB36" s="203">
        <f t="shared" si="7"/>
        <v>0</v>
      </c>
      <c r="AC36" s="204">
        <f t="shared" si="7"/>
        <v>0</v>
      </c>
      <c r="AD36" s="205"/>
      <c r="AE36" s="38"/>
    </row>
    <row r="37" spans="1:37" ht="117.6" customHeight="1" x14ac:dyDescent="0.25">
      <c r="A37" s="75"/>
      <c r="B37" s="76"/>
      <c r="C37" s="219"/>
      <c r="D37" s="219"/>
      <c r="E37" s="220" t="s">
        <v>197</v>
      </c>
      <c r="F37" s="221"/>
      <c r="G37" s="61"/>
      <c r="H37" s="62" t="e">
        <f>0+H40+#REF!</f>
        <v>#REF!</v>
      </c>
      <c r="I37" s="183"/>
      <c r="J37" s="184">
        <v>0</v>
      </c>
      <c r="K37" s="185"/>
      <c r="L37" s="186"/>
      <c r="M37" s="187">
        <f>M38+M39+M40+M41</f>
        <v>767454230</v>
      </c>
      <c r="N37" s="222"/>
      <c r="O37" s="187">
        <f>0+O40+O38</f>
        <v>125160000</v>
      </c>
      <c r="P37" s="188"/>
      <c r="Q37" s="187">
        <f>0+Q40</f>
        <v>45951000</v>
      </c>
      <c r="R37" s="188"/>
      <c r="S37" s="187">
        <f>0+S40</f>
        <v>0</v>
      </c>
      <c r="T37" s="188"/>
      <c r="U37" s="187">
        <f>U38+U39+U40+U41</f>
        <v>591225000</v>
      </c>
      <c r="V37" s="187"/>
      <c r="W37" s="187">
        <f>0+W40+W38+W41+W39</f>
        <v>762336000</v>
      </c>
      <c r="X37" s="189"/>
      <c r="Y37" s="189">
        <f t="shared" si="2"/>
        <v>0.99333089870388758</v>
      </c>
      <c r="Z37" s="190"/>
      <c r="AA37" s="187">
        <f>W37+J37</f>
        <v>762336000</v>
      </c>
      <c r="AB37" s="191"/>
      <c r="AC37" s="187">
        <f>0+AC40</f>
        <v>0</v>
      </c>
      <c r="AD37" s="192"/>
      <c r="AE37" s="38"/>
    </row>
    <row r="38" spans="1:37" ht="107.1" customHeight="1" x14ac:dyDescent="0.25">
      <c r="A38" s="75"/>
      <c r="B38" s="223"/>
      <c r="C38" s="224"/>
      <c r="D38" s="224"/>
      <c r="E38" s="225" t="s">
        <v>318</v>
      </c>
      <c r="F38" s="225" t="s">
        <v>319</v>
      </c>
      <c r="G38" s="226">
        <v>0</v>
      </c>
      <c r="H38" s="81">
        <v>0</v>
      </c>
      <c r="I38" s="227">
        <v>0</v>
      </c>
      <c r="J38" s="196">
        <v>0</v>
      </c>
      <c r="K38" s="228">
        <v>1</v>
      </c>
      <c r="L38" s="198" t="s">
        <v>199</v>
      </c>
      <c r="M38" s="207">
        <v>125208000</v>
      </c>
      <c r="N38" s="200">
        <v>1</v>
      </c>
      <c r="O38" s="207">
        <v>125160000</v>
      </c>
      <c r="P38" s="200" t="s">
        <v>161</v>
      </c>
      <c r="Q38" s="229">
        <v>0</v>
      </c>
      <c r="R38" s="200" t="s">
        <v>161</v>
      </c>
      <c r="S38" s="229">
        <v>0</v>
      </c>
      <c r="T38" s="201">
        <v>0</v>
      </c>
      <c r="U38" s="229">
        <v>0</v>
      </c>
      <c r="V38" s="207">
        <f>N38</f>
        <v>1</v>
      </c>
      <c r="W38" s="207">
        <f>O38</f>
        <v>125160000</v>
      </c>
      <c r="X38" s="202">
        <f>V38/K38*100%</f>
        <v>1</v>
      </c>
      <c r="Y38" s="202">
        <f t="shared" si="2"/>
        <v>0.99961663791451028</v>
      </c>
      <c r="Z38" s="199">
        <f>V38+I38</f>
        <v>1</v>
      </c>
      <c r="AA38" s="199">
        <f t="shared" ref="AA38:AA39" si="8">W38+J38</f>
        <v>125160000</v>
      </c>
      <c r="AB38" s="203">
        <f t="shared" ref="AB38:AC41" si="9">IFERROR(Z38/G38,0)</f>
        <v>0</v>
      </c>
      <c r="AC38" s="204">
        <f t="shared" si="9"/>
        <v>0</v>
      </c>
      <c r="AD38" s="230"/>
      <c r="AE38" s="38"/>
    </row>
    <row r="39" spans="1:37" s="74" customFormat="1" ht="54.75" customHeight="1" x14ac:dyDescent="0.25">
      <c r="A39" s="58"/>
      <c r="B39" s="59"/>
      <c r="C39" s="231"/>
      <c r="D39" s="231"/>
      <c r="E39" s="212" t="s">
        <v>320</v>
      </c>
      <c r="F39" s="212" t="s">
        <v>321</v>
      </c>
      <c r="G39" s="79">
        <v>0</v>
      </c>
      <c r="H39" s="80">
        <v>0</v>
      </c>
      <c r="I39" s="195">
        <v>0</v>
      </c>
      <c r="J39" s="196">
        <v>0</v>
      </c>
      <c r="K39" s="197">
        <v>30</v>
      </c>
      <c r="L39" s="198" t="s">
        <v>199</v>
      </c>
      <c r="M39" s="199">
        <v>359442190</v>
      </c>
      <c r="N39" s="200">
        <v>0</v>
      </c>
      <c r="O39" s="201">
        <v>0</v>
      </c>
      <c r="P39" s="201">
        <v>0</v>
      </c>
      <c r="Q39" s="201">
        <v>0</v>
      </c>
      <c r="R39" s="201">
        <v>0</v>
      </c>
      <c r="S39" s="201">
        <v>0</v>
      </c>
      <c r="T39" s="201">
        <v>30</v>
      </c>
      <c r="U39" s="201">
        <v>358990000</v>
      </c>
      <c r="V39" s="199">
        <f>SUM(N39,P39,R39,T39)</f>
        <v>30</v>
      </c>
      <c r="W39" s="199">
        <f>SUM(Q39,S39,U39)</f>
        <v>358990000</v>
      </c>
      <c r="X39" s="202">
        <f>V39/K39*100%</f>
        <v>1</v>
      </c>
      <c r="Y39" s="202">
        <f t="shared" si="2"/>
        <v>0.99874196738006749</v>
      </c>
      <c r="Z39" s="199">
        <f>V39+I39</f>
        <v>30</v>
      </c>
      <c r="AA39" s="199">
        <f t="shared" si="8"/>
        <v>358990000</v>
      </c>
      <c r="AB39" s="203">
        <f t="shared" si="9"/>
        <v>0</v>
      </c>
      <c r="AC39" s="204">
        <f t="shared" si="9"/>
        <v>0</v>
      </c>
      <c r="AD39" s="205"/>
      <c r="AE39" s="71"/>
      <c r="AF39" s="72"/>
      <c r="AG39" s="72"/>
      <c r="AH39" s="73"/>
      <c r="AI39" s="73"/>
      <c r="AJ39" s="73"/>
      <c r="AK39" s="72"/>
    </row>
    <row r="40" spans="1:37" s="74" customFormat="1" ht="54.75" customHeight="1" x14ac:dyDescent="0.25">
      <c r="A40" s="58"/>
      <c r="B40" s="59"/>
      <c r="C40" s="231"/>
      <c r="D40" s="231"/>
      <c r="E40" s="232" t="s">
        <v>58</v>
      </c>
      <c r="F40" s="233" t="s">
        <v>198</v>
      </c>
      <c r="G40" s="79">
        <v>0</v>
      </c>
      <c r="H40" s="80">
        <v>0</v>
      </c>
      <c r="I40" s="195">
        <v>0</v>
      </c>
      <c r="J40" s="196">
        <v>0</v>
      </c>
      <c r="K40" s="197">
        <v>50</v>
      </c>
      <c r="L40" s="198" t="s">
        <v>199</v>
      </c>
      <c r="M40" s="199">
        <v>79783600</v>
      </c>
      <c r="N40" s="200" t="s">
        <v>161</v>
      </c>
      <c r="O40" s="201">
        <v>0</v>
      </c>
      <c r="P40" s="201">
        <v>20</v>
      </c>
      <c r="Q40" s="201">
        <v>45951000</v>
      </c>
      <c r="R40" s="201">
        <v>0</v>
      </c>
      <c r="S40" s="201">
        <v>0</v>
      </c>
      <c r="T40" s="201">
        <v>30</v>
      </c>
      <c r="U40" s="201">
        <v>29570000</v>
      </c>
      <c r="V40" s="199">
        <f>SUM(N40,P40,R40,T40)</f>
        <v>50</v>
      </c>
      <c r="W40" s="199">
        <f>SUM(Q40,S40,U40)</f>
        <v>75521000</v>
      </c>
      <c r="X40" s="202">
        <f>V40/K40*100%</f>
        <v>1</v>
      </c>
      <c r="Y40" s="202">
        <f t="shared" si="2"/>
        <v>0.94657297991065836</v>
      </c>
      <c r="Z40" s="199">
        <f>V40+I40</f>
        <v>50</v>
      </c>
      <c r="AA40" s="199">
        <f t="shared" si="0"/>
        <v>75521000</v>
      </c>
      <c r="AB40" s="203">
        <f t="shared" si="9"/>
        <v>0</v>
      </c>
      <c r="AC40" s="204">
        <f t="shared" si="9"/>
        <v>0</v>
      </c>
      <c r="AD40" s="205"/>
      <c r="AE40" s="71"/>
      <c r="AF40" s="72"/>
      <c r="AG40" s="72"/>
      <c r="AH40" s="73"/>
      <c r="AI40" s="73"/>
      <c r="AJ40" s="73"/>
      <c r="AK40" s="72"/>
    </row>
    <row r="41" spans="1:37" s="74" customFormat="1" ht="120.6" customHeight="1" x14ac:dyDescent="0.25">
      <c r="A41" s="58"/>
      <c r="B41" s="59"/>
      <c r="C41" s="231"/>
      <c r="D41" s="231"/>
      <c r="E41" s="212" t="s">
        <v>322</v>
      </c>
      <c r="F41" s="212" t="s">
        <v>323</v>
      </c>
      <c r="G41" s="79">
        <v>0</v>
      </c>
      <c r="H41" s="80">
        <v>0</v>
      </c>
      <c r="I41" s="195">
        <v>0</v>
      </c>
      <c r="J41" s="196">
        <v>0</v>
      </c>
      <c r="K41" s="197">
        <v>10</v>
      </c>
      <c r="L41" s="198" t="s">
        <v>199</v>
      </c>
      <c r="M41" s="199">
        <v>203020440</v>
      </c>
      <c r="N41" s="200"/>
      <c r="O41" s="201">
        <v>0</v>
      </c>
      <c r="P41" s="201"/>
      <c r="Q41" s="201"/>
      <c r="R41" s="201">
        <v>0</v>
      </c>
      <c r="S41" s="201">
        <v>0</v>
      </c>
      <c r="T41" s="201">
        <v>10</v>
      </c>
      <c r="U41" s="201">
        <v>202665000</v>
      </c>
      <c r="V41" s="199">
        <f>SUM(N41,P41,R41,T41)</f>
        <v>10</v>
      </c>
      <c r="W41" s="199">
        <f>SUM(Q41,S41,U41)</f>
        <v>202665000</v>
      </c>
      <c r="X41" s="202">
        <f>V41/K41*100%</f>
        <v>1</v>
      </c>
      <c r="Y41" s="202">
        <f t="shared" si="2"/>
        <v>0.99824924032279705</v>
      </c>
      <c r="Z41" s="199">
        <f>V41+I41</f>
        <v>10</v>
      </c>
      <c r="AA41" s="199">
        <f t="shared" si="0"/>
        <v>202665000</v>
      </c>
      <c r="AB41" s="203">
        <f t="shared" si="9"/>
        <v>0</v>
      </c>
      <c r="AC41" s="204">
        <f t="shared" si="9"/>
        <v>0</v>
      </c>
      <c r="AD41" s="205"/>
      <c r="AE41" s="71"/>
      <c r="AF41" s="72"/>
      <c r="AG41" s="72"/>
      <c r="AH41" s="73"/>
      <c r="AI41" s="73"/>
      <c r="AJ41" s="73"/>
      <c r="AK41" s="72"/>
    </row>
    <row r="42" spans="1:37" ht="88.5" customHeight="1" x14ac:dyDescent="0.25">
      <c r="A42" s="75"/>
      <c r="B42" s="76"/>
      <c r="C42" s="59"/>
      <c r="D42" s="59"/>
      <c r="E42" s="182" t="s">
        <v>62</v>
      </c>
      <c r="F42" s="214"/>
      <c r="G42" s="61"/>
      <c r="H42" s="62" t="e">
        <f>0+H43+H44+#REF!</f>
        <v>#REF!</v>
      </c>
      <c r="I42" s="183"/>
      <c r="J42" s="184">
        <f>0+J43+J44</f>
        <v>0</v>
      </c>
      <c r="K42" s="185"/>
      <c r="L42" s="186"/>
      <c r="M42" s="187">
        <f>M43+M44</f>
        <v>689531710</v>
      </c>
      <c r="N42" s="222"/>
      <c r="O42" s="187">
        <f>O43+O44</f>
        <v>118632787</v>
      </c>
      <c r="P42" s="188"/>
      <c r="Q42" s="187">
        <f>0+Q43+Q44</f>
        <v>205174883</v>
      </c>
      <c r="R42" s="188"/>
      <c r="S42" s="187">
        <f>0+S43+S44</f>
        <v>108438760</v>
      </c>
      <c r="T42" s="188"/>
      <c r="U42" s="187">
        <f>U43+U44</f>
        <v>223909999</v>
      </c>
      <c r="V42" s="187"/>
      <c r="W42" s="187">
        <f>0+W43+W44</f>
        <v>656156429</v>
      </c>
      <c r="X42" s="189"/>
      <c r="Y42" s="189">
        <f t="shared" si="2"/>
        <v>0.95159717745250616</v>
      </c>
      <c r="Z42" s="190"/>
      <c r="AA42" s="187">
        <f>W42+J42</f>
        <v>656156429</v>
      </c>
      <c r="AB42" s="191"/>
      <c r="AC42" s="187" t="e">
        <f>0+AC43+AC44+#REF!</f>
        <v>#REF!</v>
      </c>
      <c r="AD42" s="192"/>
      <c r="AE42" s="38"/>
    </row>
    <row r="43" spans="1:37" s="74" customFormat="1" ht="73.5" customHeight="1" x14ac:dyDescent="0.25">
      <c r="A43" s="58"/>
      <c r="B43" s="59"/>
      <c r="C43" s="218"/>
      <c r="D43" s="218"/>
      <c r="E43" s="193" t="s">
        <v>68</v>
      </c>
      <c r="F43" s="193" t="s">
        <v>200</v>
      </c>
      <c r="G43" s="79">
        <v>0</v>
      </c>
      <c r="H43" s="80">
        <v>0</v>
      </c>
      <c r="I43" s="195">
        <v>0</v>
      </c>
      <c r="J43" s="196">
        <v>0</v>
      </c>
      <c r="K43" s="197">
        <v>12</v>
      </c>
      <c r="L43" s="198" t="s">
        <v>174</v>
      </c>
      <c r="M43" s="199">
        <v>495379960</v>
      </c>
      <c r="N43" s="200">
        <v>3</v>
      </c>
      <c r="O43" s="201">
        <v>78200000</v>
      </c>
      <c r="P43" s="201">
        <v>3</v>
      </c>
      <c r="Q43" s="201">
        <v>159278740</v>
      </c>
      <c r="R43" s="201">
        <v>3</v>
      </c>
      <c r="S43" s="201">
        <v>79162280</v>
      </c>
      <c r="T43" s="201">
        <v>3</v>
      </c>
      <c r="U43" s="201">
        <v>152292430</v>
      </c>
      <c r="V43" s="199">
        <f>N43+P43+R43+T43</f>
        <v>12</v>
      </c>
      <c r="W43" s="199">
        <f>O43+Q43+S43+U43</f>
        <v>468933450</v>
      </c>
      <c r="X43" s="202">
        <f>V43/K43*100%</f>
        <v>1</v>
      </c>
      <c r="Y43" s="202">
        <f t="shared" si="2"/>
        <v>0.94661368618948571</v>
      </c>
      <c r="Z43" s="199">
        <f>V43+I43</f>
        <v>12</v>
      </c>
      <c r="AA43" s="199">
        <f t="shared" si="0"/>
        <v>468933450</v>
      </c>
      <c r="AB43" s="203">
        <f t="shared" ref="AB43:AC44" si="10">IFERROR(Z43/G43,0)</f>
        <v>0</v>
      </c>
      <c r="AC43" s="204">
        <f t="shared" si="10"/>
        <v>0</v>
      </c>
      <c r="AD43" s="205"/>
      <c r="AE43" s="71"/>
      <c r="AF43" s="72"/>
      <c r="AG43" s="72"/>
      <c r="AH43" s="73"/>
      <c r="AI43" s="73"/>
      <c r="AJ43" s="73"/>
      <c r="AK43" s="72"/>
    </row>
    <row r="44" spans="1:37" ht="81" customHeight="1" x14ac:dyDescent="0.25">
      <c r="A44" s="75"/>
      <c r="B44" s="76"/>
      <c r="C44" s="76"/>
      <c r="D44" s="76"/>
      <c r="E44" s="193" t="s">
        <v>201</v>
      </c>
      <c r="F44" s="212" t="s">
        <v>202</v>
      </c>
      <c r="G44" s="79">
        <v>0</v>
      </c>
      <c r="H44" s="80">
        <v>0</v>
      </c>
      <c r="I44" s="195">
        <v>0</v>
      </c>
      <c r="J44" s="196">
        <v>0</v>
      </c>
      <c r="K44" s="197">
        <v>12</v>
      </c>
      <c r="L44" s="198" t="s">
        <v>174</v>
      </c>
      <c r="M44" s="199">
        <v>194151750</v>
      </c>
      <c r="N44" s="200">
        <v>3</v>
      </c>
      <c r="O44" s="201">
        <v>40432787</v>
      </c>
      <c r="P44" s="201">
        <v>3</v>
      </c>
      <c r="Q44" s="201">
        <v>45896143</v>
      </c>
      <c r="R44" s="201">
        <v>3</v>
      </c>
      <c r="S44" s="201">
        <v>29276480</v>
      </c>
      <c r="T44" s="201">
        <v>3</v>
      </c>
      <c r="U44" s="201">
        <v>71617569</v>
      </c>
      <c r="V44" s="199">
        <f>N44+P44+R44+T44</f>
        <v>12</v>
      </c>
      <c r="W44" s="199">
        <f>O44+Q44+S44+U44</f>
        <v>187222979</v>
      </c>
      <c r="X44" s="202">
        <f>V44/K44*100%</f>
        <v>1</v>
      </c>
      <c r="Y44" s="202">
        <f t="shared" si="2"/>
        <v>0.96431260083929193</v>
      </c>
      <c r="Z44" s="199">
        <f>V44+I44</f>
        <v>12</v>
      </c>
      <c r="AA44" s="199">
        <f t="shared" si="0"/>
        <v>187222979</v>
      </c>
      <c r="AB44" s="203">
        <f t="shared" si="10"/>
        <v>0</v>
      </c>
      <c r="AC44" s="204">
        <f t="shared" si="10"/>
        <v>0</v>
      </c>
      <c r="AD44" s="205"/>
      <c r="AE44" s="38"/>
    </row>
    <row r="45" spans="1:37" ht="122.1" customHeight="1" x14ac:dyDescent="0.25">
      <c r="A45" s="75"/>
      <c r="B45" s="76"/>
      <c r="C45" s="59"/>
      <c r="D45" s="59"/>
      <c r="E45" s="182" t="s">
        <v>204</v>
      </c>
      <c r="F45" s="214"/>
      <c r="G45" s="61"/>
      <c r="H45" s="62">
        <f>0+H46+H47</f>
        <v>0</v>
      </c>
      <c r="I45" s="183"/>
      <c r="J45" s="184">
        <f>0+J46+J47</f>
        <v>0</v>
      </c>
      <c r="K45" s="185"/>
      <c r="L45" s="186"/>
      <c r="M45" s="187">
        <f>M46+M47</f>
        <v>161594560</v>
      </c>
      <c r="N45" s="222"/>
      <c r="O45" s="187">
        <f>O46</f>
        <v>17268000</v>
      </c>
      <c r="P45" s="188"/>
      <c r="Q45" s="187">
        <f>0+Q46+Q47</f>
        <v>44144603</v>
      </c>
      <c r="R45" s="188"/>
      <c r="S45" s="187">
        <f>0+S46+S47</f>
        <v>28375000</v>
      </c>
      <c r="T45" s="188"/>
      <c r="U45" s="187">
        <f>U46+U47</f>
        <v>71801000</v>
      </c>
      <c r="V45" s="187"/>
      <c r="W45" s="187">
        <f>0+W46+W47</f>
        <v>161588603</v>
      </c>
      <c r="X45" s="189"/>
      <c r="Y45" s="189">
        <f t="shared" si="2"/>
        <v>0.99996313613527588</v>
      </c>
      <c r="Z45" s="190"/>
      <c r="AA45" s="187">
        <f t="shared" si="0"/>
        <v>161588603</v>
      </c>
      <c r="AB45" s="191"/>
      <c r="AC45" s="187" t="e">
        <f>0+AC46+AC47+#REF!</f>
        <v>#REF!</v>
      </c>
      <c r="AD45" s="192"/>
      <c r="AE45" s="38"/>
    </row>
    <row r="46" spans="1:37" ht="132" customHeight="1" x14ac:dyDescent="0.25">
      <c r="A46" s="75"/>
      <c r="B46" s="76"/>
      <c r="C46" s="76"/>
      <c r="D46" s="76"/>
      <c r="E46" s="193" t="s">
        <v>205</v>
      </c>
      <c r="F46" s="193" t="s">
        <v>206</v>
      </c>
      <c r="G46" s="79">
        <v>0</v>
      </c>
      <c r="H46" s="80">
        <v>0</v>
      </c>
      <c r="I46" s="195">
        <v>0</v>
      </c>
      <c r="J46" s="196">
        <v>0</v>
      </c>
      <c r="K46" s="197">
        <v>3</v>
      </c>
      <c r="L46" s="198" t="s">
        <v>199</v>
      </c>
      <c r="M46" s="199">
        <v>122698560</v>
      </c>
      <c r="N46" s="200">
        <v>1</v>
      </c>
      <c r="O46" s="201">
        <v>17268000</v>
      </c>
      <c r="P46" s="201">
        <v>1</v>
      </c>
      <c r="Q46" s="201">
        <v>37054603</v>
      </c>
      <c r="R46" s="200" t="s">
        <v>161</v>
      </c>
      <c r="S46" s="201">
        <v>15400000</v>
      </c>
      <c r="T46" s="201">
        <v>1</v>
      </c>
      <c r="U46" s="201">
        <v>52971000</v>
      </c>
      <c r="V46" s="199">
        <f>N46+P46+T46</f>
        <v>3</v>
      </c>
      <c r="W46" s="199">
        <f>O46+Q46+S46+U46</f>
        <v>122693603</v>
      </c>
      <c r="X46" s="202">
        <f>V46/K46*100%</f>
        <v>1</v>
      </c>
      <c r="Y46" s="202">
        <f>W46/M46*100%</f>
        <v>0.99995960017786678</v>
      </c>
      <c r="Z46" s="199">
        <f>V46+I46</f>
        <v>3</v>
      </c>
      <c r="AA46" s="199">
        <f t="shared" si="0"/>
        <v>122693603</v>
      </c>
      <c r="AB46" s="203">
        <f t="shared" ref="AB46:AC47" si="11">IFERROR(Z46/G46,0)</f>
        <v>0</v>
      </c>
      <c r="AC46" s="204">
        <f t="shared" si="11"/>
        <v>0</v>
      </c>
      <c r="AD46" s="205"/>
      <c r="AE46" s="38"/>
    </row>
    <row r="47" spans="1:37" s="74" customFormat="1" ht="62.25" customHeight="1" x14ac:dyDescent="0.25">
      <c r="A47" s="58"/>
      <c r="B47" s="59"/>
      <c r="C47" s="218"/>
      <c r="D47" s="218"/>
      <c r="E47" s="193" t="s">
        <v>74</v>
      </c>
      <c r="F47" s="193" t="s">
        <v>207</v>
      </c>
      <c r="G47" s="79">
        <v>0</v>
      </c>
      <c r="H47" s="80">
        <v>0</v>
      </c>
      <c r="I47" s="195">
        <v>0</v>
      </c>
      <c r="J47" s="196">
        <v>0</v>
      </c>
      <c r="K47" s="197">
        <v>57</v>
      </c>
      <c r="L47" s="198" t="s">
        <v>199</v>
      </c>
      <c r="M47" s="199">
        <v>38896000</v>
      </c>
      <c r="N47" s="200" t="s">
        <v>161</v>
      </c>
      <c r="O47" s="201">
        <v>0</v>
      </c>
      <c r="P47" s="201">
        <v>20</v>
      </c>
      <c r="Q47" s="201">
        <v>7090000</v>
      </c>
      <c r="R47" s="201">
        <v>25</v>
      </c>
      <c r="S47" s="201">
        <v>12975000</v>
      </c>
      <c r="T47" s="201">
        <v>12</v>
      </c>
      <c r="U47" s="201">
        <v>18830000</v>
      </c>
      <c r="V47" s="199">
        <f>P47+R47+T47</f>
        <v>57</v>
      </c>
      <c r="W47" s="199">
        <f>SUM(Q47,S47,U47)</f>
        <v>38895000</v>
      </c>
      <c r="X47" s="202">
        <f>V47/K47*100%</f>
        <v>1</v>
      </c>
      <c r="Y47" s="202">
        <f t="shared" si="2"/>
        <v>0.99997429041546693</v>
      </c>
      <c r="Z47" s="199">
        <f>V47+I47</f>
        <v>57</v>
      </c>
      <c r="AA47" s="199">
        <f t="shared" si="0"/>
        <v>38895000</v>
      </c>
      <c r="AB47" s="203">
        <f t="shared" si="11"/>
        <v>0</v>
      </c>
      <c r="AC47" s="204">
        <f t="shared" si="11"/>
        <v>0</v>
      </c>
      <c r="AD47" s="205"/>
      <c r="AE47" s="71"/>
      <c r="AF47" s="72"/>
      <c r="AG47" s="72"/>
      <c r="AH47" s="73"/>
      <c r="AI47" s="73"/>
      <c r="AJ47" s="73"/>
      <c r="AK47" s="72"/>
    </row>
    <row r="48" spans="1:37" ht="88.5" customHeight="1" x14ac:dyDescent="0.25">
      <c r="A48" s="75"/>
      <c r="B48" s="76"/>
      <c r="C48" s="234"/>
      <c r="D48" s="234"/>
      <c r="E48" s="235" t="s">
        <v>211</v>
      </c>
      <c r="F48" s="236"/>
      <c r="G48" s="61"/>
      <c r="H48" s="62"/>
      <c r="I48" s="183"/>
      <c r="J48" s="184"/>
      <c r="K48" s="185"/>
      <c r="L48" s="186"/>
      <c r="M48" s="187">
        <f>0+M49+M50+M51+M52+M53+M54+M55</f>
        <v>3213960000</v>
      </c>
      <c r="N48" s="222"/>
      <c r="O48" s="187">
        <f>0+O49+O50+O51+O52+O53+O54+O55</f>
        <v>121310000</v>
      </c>
      <c r="P48" s="188"/>
      <c r="Q48" s="187">
        <f>0+Q49+Q50+Q51+Q52+Q53+Q54+Q55</f>
        <v>785848190</v>
      </c>
      <c r="R48" s="188"/>
      <c r="S48" s="187">
        <f>0+S49+S50+S51+S52+S53+S54+S55</f>
        <v>461444000</v>
      </c>
      <c r="T48" s="188"/>
      <c r="U48" s="187">
        <f>0+U49+U50+U51+U52+U53+U54+U55</f>
        <v>1828688300</v>
      </c>
      <c r="V48" s="237"/>
      <c r="W48" s="187">
        <f>0+W49+W50+W51+W52+W53+W54+W55</f>
        <v>3197290490</v>
      </c>
      <c r="X48" s="189"/>
      <c r="Y48" s="189">
        <f>W48/M48*100%</f>
        <v>0.99481340464722645</v>
      </c>
      <c r="Z48" s="190"/>
      <c r="AA48" s="187">
        <f t="shared" si="0"/>
        <v>3197290490</v>
      </c>
      <c r="AB48" s="191"/>
      <c r="AC48" s="187">
        <f>0+AC49+AC50+AC51+AC52+AC53+AC54+AC55</f>
        <v>0</v>
      </c>
      <c r="AD48" s="192"/>
      <c r="AE48" s="38"/>
    </row>
    <row r="49" spans="1:37" ht="97.5" customHeight="1" x14ac:dyDescent="0.25">
      <c r="A49" s="75"/>
      <c r="B49" s="76"/>
      <c r="C49" s="223"/>
      <c r="D49" s="223"/>
      <c r="E49" s="238" t="s">
        <v>212</v>
      </c>
      <c r="F49" s="217" t="s">
        <v>213</v>
      </c>
      <c r="G49" s="79">
        <v>0</v>
      </c>
      <c r="H49" s="80">
        <v>0</v>
      </c>
      <c r="I49" s="195">
        <v>0</v>
      </c>
      <c r="J49" s="196">
        <v>0</v>
      </c>
      <c r="K49" s="197">
        <v>4</v>
      </c>
      <c r="L49" s="198" t="s">
        <v>160</v>
      </c>
      <c r="M49" s="207">
        <v>726636874</v>
      </c>
      <c r="N49" s="200">
        <v>1</v>
      </c>
      <c r="O49" s="207">
        <v>28950000</v>
      </c>
      <c r="P49" s="201">
        <v>1</v>
      </c>
      <c r="Q49" s="201">
        <v>149899000</v>
      </c>
      <c r="R49" s="200" t="s">
        <v>161</v>
      </c>
      <c r="S49" s="201">
        <v>73040000</v>
      </c>
      <c r="T49" s="201">
        <v>1</v>
      </c>
      <c r="U49" s="201">
        <v>471900000</v>
      </c>
      <c r="V49" s="199">
        <f>3+T49</f>
        <v>4</v>
      </c>
      <c r="W49" s="199">
        <f>O49+Q49+S49+U49</f>
        <v>723789000</v>
      </c>
      <c r="X49" s="202">
        <f>V49/K49*100%</f>
        <v>1</v>
      </c>
      <c r="Y49" s="202">
        <f t="shared" si="2"/>
        <v>0.99608074665365798</v>
      </c>
      <c r="Z49" s="199">
        <f t="shared" ref="Z49:Z55" si="12">V49+I49</f>
        <v>4</v>
      </c>
      <c r="AA49" s="199">
        <f t="shared" si="0"/>
        <v>723789000</v>
      </c>
      <c r="AB49" s="203">
        <f t="shared" ref="AB49:AC55" si="13">IFERROR(Z49/G49,0)</f>
        <v>0</v>
      </c>
      <c r="AC49" s="204">
        <f t="shared" si="13"/>
        <v>0</v>
      </c>
      <c r="AD49" s="230"/>
      <c r="AE49" s="38"/>
    </row>
    <row r="50" spans="1:37" s="108" customFormat="1" ht="91.5" customHeight="1" x14ac:dyDescent="0.25">
      <c r="A50" s="100"/>
      <c r="B50" s="101"/>
      <c r="C50" s="239"/>
      <c r="D50" s="239"/>
      <c r="E50" s="238" t="s">
        <v>82</v>
      </c>
      <c r="F50" s="217" t="s">
        <v>215</v>
      </c>
      <c r="G50" s="79">
        <v>0</v>
      </c>
      <c r="H50" s="80">
        <v>0</v>
      </c>
      <c r="I50" s="195">
        <v>0</v>
      </c>
      <c r="J50" s="196">
        <v>0</v>
      </c>
      <c r="K50" s="197">
        <v>2</v>
      </c>
      <c r="L50" s="198" t="s">
        <v>160</v>
      </c>
      <c r="M50" s="207">
        <v>127421200</v>
      </c>
      <c r="N50" s="200" t="s">
        <v>161</v>
      </c>
      <c r="O50" s="207">
        <v>0</v>
      </c>
      <c r="P50" s="201">
        <v>1</v>
      </c>
      <c r="Q50" s="201">
        <v>16350000</v>
      </c>
      <c r="R50" s="201">
        <v>0</v>
      </c>
      <c r="S50" s="201">
        <v>900000</v>
      </c>
      <c r="T50" s="201">
        <v>1</v>
      </c>
      <c r="U50" s="201">
        <v>109422600</v>
      </c>
      <c r="V50" s="199">
        <f t="shared" ref="V50" si="14">SUM(N50,P50,R50,T50)</f>
        <v>2</v>
      </c>
      <c r="W50" s="199">
        <f>SUM(Q50,S50,U50)</f>
        <v>126672600</v>
      </c>
      <c r="X50" s="202">
        <f>V50/K50*100%</f>
        <v>1</v>
      </c>
      <c r="Y50" s="202">
        <f t="shared" si="2"/>
        <v>0.99412499646840558</v>
      </c>
      <c r="Z50" s="199">
        <f t="shared" si="12"/>
        <v>2</v>
      </c>
      <c r="AA50" s="199">
        <f t="shared" si="0"/>
        <v>126672600</v>
      </c>
      <c r="AB50" s="203">
        <f t="shared" si="13"/>
        <v>0</v>
      </c>
      <c r="AC50" s="204">
        <f t="shared" si="13"/>
        <v>0</v>
      </c>
      <c r="AD50" s="230"/>
      <c r="AE50" s="105"/>
      <c r="AF50" s="106"/>
      <c r="AG50" s="106"/>
      <c r="AH50" s="107"/>
      <c r="AI50" s="107"/>
      <c r="AJ50" s="107"/>
      <c r="AK50" s="106"/>
    </row>
    <row r="51" spans="1:37" s="117" customFormat="1" ht="91.5" customHeight="1" x14ac:dyDescent="0.25">
      <c r="A51" s="109"/>
      <c r="B51" s="110"/>
      <c r="C51" s="239"/>
      <c r="D51" s="239"/>
      <c r="E51" s="238" t="s">
        <v>84</v>
      </c>
      <c r="F51" s="217" t="s">
        <v>217</v>
      </c>
      <c r="G51" s="240">
        <v>0</v>
      </c>
      <c r="H51" s="80">
        <v>0</v>
      </c>
      <c r="I51" s="195">
        <v>0</v>
      </c>
      <c r="J51" s="196">
        <v>0</v>
      </c>
      <c r="K51" s="241">
        <v>1</v>
      </c>
      <c r="L51" s="198" t="s">
        <v>160</v>
      </c>
      <c r="M51" s="207">
        <v>36410000</v>
      </c>
      <c r="N51" s="242" t="s">
        <v>161</v>
      </c>
      <c r="O51" s="207">
        <v>10880000</v>
      </c>
      <c r="P51" s="200">
        <v>0</v>
      </c>
      <c r="Q51" s="201">
        <v>4717000</v>
      </c>
      <c r="R51" s="201">
        <v>0</v>
      </c>
      <c r="S51" s="201">
        <v>1820000</v>
      </c>
      <c r="T51" s="200">
        <v>1</v>
      </c>
      <c r="U51" s="201">
        <v>17749000</v>
      </c>
      <c r="V51" s="199">
        <f>T51</f>
        <v>1</v>
      </c>
      <c r="W51" s="199">
        <f>O51+Q51+S51+U51</f>
        <v>35166000</v>
      </c>
      <c r="X51" s="202">
        <f>V51/K51*100%*0.8</f>
        <v>0.8</v>
      </c>
      <c r="Y51" s="202">
        <f t="shared" si="2"/>
        <v>0.96583356220818462</v>
      </c>
      <c r="Z51" s="243">
        <f>V51</f>
        <v>1</v>
      </c>
      <c r="AA51" s="199">
        <f t="shared" si="0"/>
        <v>35166000</v>
      </c>
      <c r="AB51" s="203">
        <f t="shared" si="13"/>
        <v>0</v>
      </c>
      <c r="AC51" s="204">
        <f t="shared" si="13"/>
        <v>0</v>
      </c>
      <c r="AD51" s="230"/>
      <c r="AE51" s="114"/>
      <c r="AF51" s="115"/>
      <c r="AG51" s="115"/>
      <c r="AH51" s="116"/>
      <c r="AI51" s="116"/>
      <c r="AJ51" s="116"/>
      <c r="AK51" s="115"/>
    </row>
    <row r="52" spans="1:37" s="108" customFormat="1" ht="91.5" customHeight="1" x14ac:dyDescent="0.25">
      <c r="A52" s="100"/>
      <c r="B52" s="101"/>
      <c r="C52" s="239"/>
      <c r="D52" s="239"/>
      <c r="E52" s="238" t="s">
        <v>222</v>
      </c>
      <c r="F52" s="217" t="s">
        <v>223</v>
      </c>
      <c r="G52" s="79">
        <v>0</v>
      </c>
      <c r="H52" s="80">
        <v>0</v>
      </c>
      <c r="I52" s="195">
        <v>0</v>
      </c>
      <c r="J52" s="196">
        <v>0</v>
      </c>
      <c r="K52" s="197">
        <v>4</v>
      </c>
      <c r="L52" s="198" t="s">
        <v>324</v>
      </c>
      <c r="M52" s="207">
        <v>1978691926</v>
      </c>
      <c r="N52" s="200">
        <v>1</v>
      </c>
      <c r="O52" s="207">
        <v>81480000</v>
      </c>
      <c r="P52" s="201">
        <v>1</v>
      </c>
      <c r="Q52" s="201">
        <v>548446500</v>
      </c>
      <c r="R52" s="201">
        <v>0</v>
      </c>
      <c r="S52" s="201">
        <v>354750000</v>
      </c>
      <c r="T52" s="201">
        <v>1</v>
      </c>
      <c r="U52" s="201">
        <v>991026700</v>
      </c>
      <c r="V52" s="199">
        <f>3+T52</f>
        <v>4</v>
      </c>
      <c r="W52" s="199">
        <f>O52+Q52+S52+U52</f>
        <v>1975703200</v>
      </c>
      <c r="X52" s="202">
        <f>V52/K52*100%</f>
        <v>1</v>
      </c>
      <c r="Y52" s="202">
        <f t="shared" si="2"/>
        <v>0.99848954455176764</v>
      </c>
      <c r="Z52" s="199">
        <f t="shared" si="12"/>
        <v>4</v>
      </c>
      <c r="AA52" s="199">
        <f t="shared" si="0"/>
        <v>1975703200</v>
      </c>
      <c r="AB52" s="203">
        <f t="shared" si="13"/>
        <v>0</v>
      </c>
      <c r="AC52" s="204">
        <f>IFERROR(AA52/H52,0)</f>
        <v>0</v>
      </c>
      <c r="AD52" s="230"/>
      <c r="AE52" s="105"/>
      <c r="AF52" s="106"/>
      <c r="AG52" s="106"/>
      <c r="AH52" s="107"/>
      <c r="AI52" s="107"/>
      <c r="AJ52" s="107"/>
      <c r="AK52" s="106"/>
    </row>
    <row r="53" spans="1:37" s="108" customFormat="1" ht="91.5" customHeight="1" x14ac:dyDescent="0.25">
      <c r="A53" s="100"/>
      <c r="B53" s="101"/>
      <c r="C53" s="239"/>
      <c r="D53" s="239"/>
      <c r="E53" s="238" t="s">
        <v>225</v>
      </c>
      <c r="F53" s="217" t="s">
        <v>226</v>
      </c>
      <c r="G53" s="79">
        <v>0</v>
      </c>
      <c r="H53" s="80">
        <v>0</v>
      </c>
      <c r="I53" s="195">
        <v>0</v>
      </c>
      <c r="J53" s="196">
        <v>0</v>
      </c>
      <c r="K53" s="197">
        <v>7</v>
      </c>
      <c r="L53" s="198" t="s">
        <v>160</v>
      </c>
      <c r="M53" s="207">
        <v>22400000</v>
      </c>
      <c r="N53" s="200" t="s">
        <v>161</v>
      </c>
      <c r="O53" s="207">
        <v>0</v>
      </c>
      <c r="P53" s="201">
        <v>0</v>
      </c>
      <c r="Q53" s="201">
        <v>0</v>
      </c>
      <c r="R53" s="201">
        <v>0</v>
      </c>
      <c r="S53" s="201">
        <v>0</v>
      </c>
      <c r="T53" s="201">
        <v>4</v>
      </c>
      <c r="U53" s="201">
        <v>20425000</v>
      </c>
      <c r="V53" s="199">
        <f>3+T53</f>
        <v>7</v>
      </c>
      <c r="W53" s="199">
        <f>O53+Q53+S53+U53</f>
        <v>20425000</v>
      </c>
      <c r="X53" s="202">
        <f>V53/K53*100%</f>
        <v>1</v>
      </c>
      <c r="Y53" s="202">
        <f t="shared" si="2"/>
        <v>0.9118303571428571</v>
      </c>
      <c r="Z53" s="199">
        <f t="shared" si="12"/>
        <v>7</v>
      </c>
      <c r="AA53" s="199">
        <f t="shared" si="0"/>
        <v>20425000</v>
      </c>
      <c r="AB53" s="203">
        <f t="shared" si="13"/>
        <v>0</v>
      </c>
      <c r="AC53" s="204">
        <f t="shared" si="13"/>
        <v>0</v>
      </c>
      <c r="AD53" s="230"/>
      <c r="AE53" s="105"/>
      <c r="AF53" s="106"/>
      <c r="AG53" s="106"/>
      <c r="AH53" s="107"/>
      <c r="AI53" s="107"/>
      <c r="AJ53" s="107"/>
      <c r="AK53" s="106"/>
    </row>
    <row r="54" spans="1:37" s="108" customFormat="1" ht="91.5" customHeight="1" x14ac:dyDescent="0.25">
      <c r="A54" s="100"/>
      <c r="B54" s="101"/>
      <c r="C54" s="239"/>
      <c r="D54" s="239"/>
      <c r="E54" s="238" t="s">
        <v>228</v>
      </c>
      <c r="F54" s="217" t="s">
        <v>229</v>
      </c>
      <c r="G54" s="79">
        <v>0</v>
      </c>
      <c r="H54" s="80">
        <v>0</v>
      </c>
      <c r="I54" s="195">
        <v>0</v>
      </c>
      <c r="J54" s="196">
        <v>0</v>
      </c>
      <c r="K54" s="197">
        <v>6</v>
      </c>
      <c r="L54" s="198" t="s">
        <v>160</v>
      </c>
      <c r="M54" s="207">
        <v>62450000</v>
      </c>
      <c r="N54" s="200" t="s">
        <v>161</v>
      </c>
      <c r="O54" s="207">
        <v>0</v>
      </c>
      <c r="P54" s="201">
        <v>3</v>
      </c>
      <c r="Q54" s="201">
        <v>12149690</v>
      </c>
      <c r="R54" s="201">
        <v>1</v>
      </c>
      <c r="S54" s="201">
        <v>30934000</v>
      </c>
      <c r="T54" s="201">
        <v>2</v>
      </c>
      <c r="U54" s="201">
        <v>18665000</v>
      </c>
      <c r="V54" s="199">
        <f>P54+R54+T54</f>
        <v>6</v>
      </c>
      <c r="W54" s="199">
        <f>SUM(Q54,S54,U54)</f>
        <v>61748690</v>
      </c>
      <c r="X54" s="202">
        <f>V54/K54*100%</f>
        <v>1</v>
      </c>
      <c r="Y54" s="202">
        <f t="shared" si="2"/>
        <v>0.98877005604483592</v>
      </c>
      <c r="Z54" s="199">
        <f t="shared" si="12"/>
        <v>6</v>
      </c>
      <c r="AA54" s="199">
        <f t="shared" si="0"/>
        <v>61748690</v>
      </c>
      <c r="AB54" s="203">
        <f t="shared" si="13"/>
        <v>0</v>
      </c>
      <c r="AC54" s="204">
        <f t="shared" si="13"/>
        <v>0</v>
      </c>
      <c r="AD54" s="230"/>
      <c r="AE54" s="105"/>
      <c r="AF54" s="106"/>
      <c r="AG54" s="106"/>
      <c r="AH54" s="107"/>
      <c r="AI54" s="107"/>
      <c r="AJ54" s="107"/>
      <c r="AK54" s="106"/>
    </row>
    <row r="55" spans="1:37" s="108" customFormat="1" ht="91.5" customHeight="1" x14ac:dyDescent="0.25">
      <c r="A55" s="100"/>
      <c r="B55" s="101"/>
      <c r="C55" s="239"/>
      <c r="D55" s="239"/>
      <c r="E55" s="238" t="s">
        <v>231</v>
      </c>
      <c r="F55" s="217" t="s">
        <v>232</v>
      </c>
      <c r="G55" s="79">
        <v>0</v>
      </c>
      <c r="H55" s="80">
        <v>0</v>
      </c>
      <c r="I55" s="195">
        <v>0</v>
      </c>
      <c r="J55" s="196">
        <v>0</v>
      </c>
      <c r="K55" s="197">
        <v>15</v>
      </c>
      <c r="L55" s="198" t="s">
        <v>199</v>
      </c>
      <c r="M55" s="207">
        <v>259950000</v>
      </c>
      <c r="N55" s="200" t="s">
        <v>161</v>
      </c>
      <c r="O55" s="207">
        <v>0</v>
      </c>
      <c r="P55" s="201">
        <v>7</v>
      </c>
      <c r="Q55" s="201">
        <v>54286000</v>
      </c>
      <c r="R55" s="201">
        <v>0</v>
      </c>
      <c r="S55" s="201">
        <v>0</v>
      </c>
      <c r="T55" s="201">
        <v>8</v>
      </c>
      <c r="U55" s="201">
        <v>199500000</v>
      </c>
      <c r="V55" s="199">
        <f t="shared" ref="V55" si="15">SUM(N55,P55,R55,T55)</f>
        <v>15</v>
      </c>
      <c r="W55" s="199">
        <f>SUM(O55,Q55,S55,U55)</f>
        <v>253786000</v>
      </c>
      <c r="X55" s="202">
        <f>V55/K55*100%</f>
        <v>1</v>
      </c>
      <c r="Y55" s="202">
        <f t="shared" si="2"/>
        <v>0.97628774764377768</v>
      </c>
      <c r="Z55" s="199">
        <f t="shared" si="12"/>
        <v>15</v>
      </c>
      <c r="AA55" s="199">
        <f t="shared" si="0"/>
        <v>253786000</v>
      </c>
      <c r="AB55" s="203">
        <f t="shared" si="13"/>
        <v>0</v>
      </c>
      <c r="AC55" s="204">
        <f t="shared" si="13"/>
        <v>0</v>
      </c>
      <c r="AD55" s="230"/>
      <c r="AE55" s="105"/>
      <c r="AF55" s="106"/>
      <c r="AG55" s="106"/>
      <c r="AH55" s="107"/>
      <c r="AI55" s="107"/>
      <c r="AJ55" s="107"/>
      <c r="AK55" s="106"/>
    </row>
    <row r="56" spans="1:37" s="108" customFormat="1" ht="120" customHeight="1" x14ac:dyDescent="0.25">
      <c r="A56" s="100"/>
      <c r="B56" s="101"/>
      <c r="C56" s="244"/>
      <c r="D56" s="244"/>
      <c r="E56" s="235" t="s">
        <v>233</v>
      </c>
      <c r="F56" s="236"/>
      <c r="G56" s="61"/>
      <c r="H56" s="62"/>
      <c r="I56" s="183"/>
      <c r="J56" s="184"/>
      <c r="K56" s="185"/>
      <c r="L56" s="186"/>
      <c r="M56" s="187">
        <f>0+M57+M58</f>
        <v>3650295500</v>
      </c>
      <c r="N56" s="245"/>
      <c r="O56" s="187">
        <f>O57+O58</f>
        <v>508640000</v>
      </c>
      <c r="P56" s="188"/>
      <c r="Q56" s="187">
        <f>0+Q57+Q58</f>
        <v>842815171</v>
      </c>
      <c r="R56" s="188"/>
      <c r="S56" s="187">
        <f>0+S57+S58</f>
        <v>865208188</v>
      </c>
      <c r="T56" s="188"/>
      <c r="U56" s="187">
        <f>0+U57+U58</f>
        <v>1398097176</v>
      </c>
      <c r="V56" s="245"/>
      <c r="W56" s="187">
        <f>0+W57+W58</f>
        <v>3614760535</v>
      </c>
      <c r="X56" s="189"/>
      <c r="Y56" s="189">
        <f t="shared" si="2"/>
        <v>0.99026518127094099</v>
      </c>
      <c r="Z56" s="190"/>
      <c r="AA56" s="187">
        <f t="shared" si="0"/>
        <v>3614760535</v>
      </c>
      <c r="AB56" s="191"/>
      <c r="AC56" s="187">
        <f>0+AC57+AC58</f>
        <v>0</v>
      </c>
      <c r="AD56" s="192"/>
      <c r="AE56" s="105"/>
      <c r="AF56" s="106"/>
      <c r="AG56" s="106"/>
      <c r="AH56" s="107"/>
      <c r="AI56" s="107"/>
      <c r="AJ56" s="107"/>
      <c r="AK56" s="106"/>
    </row>
    <row r="57" spans="1:37" s="108" customFormat="1" ht="134.1" customHeight="1" x14ac:dyDescent="0.25">
      <c r="A57" s="100"/>
      <c r="B57" s="101"/>
      <c r="C57" s="239"/>
      <c r="D57" s="239"/>
      <c r="E57" s="238" t="s">
        <v>234</v>
      </c>
      <c r="F57" s="217" t="s">
        <v>235</v>
      </c>
      <c r="G57" s="79">
        <v>0</v>
      </c>
      <c r="H57" s="80">
        <v>0</v>
      </c>
      <c r="I57" s="195">
        <v>0</v>
      </c>
      <c r="J57" s="196">
        <v>0</v>
      </c>
      <c r="K57" s="197">
        <v>1</v>
      </c>
      <c r="L57" s="198" t="s">
        <v>160</v>
      </c>
      <c r="M57" s="207">
        <v>99395500</v>
      </c>
      <c r="N57" s="215" t="s">
        <v>161</v>
      </c>
      <c r="O57" s="207">
        <v>1350000</v>
      </c>
      <c r="P57" s="201">
        <v>0</v>
      </c>
      <c r="Q57" s="201">
        <v>7200000</v>
      </c>
      <c r="R57" s="201">
        <v>0</v>
      </c>
      <c r="S57" s="201">
        <v>11850000</v>
      </c>
      <c r="T57" s="201">
        <v>1</v>
      </c>
      <c r="U57" s="201">
        <v>78767400</v>
      </c>
      <c r="V57" s="199">
        <f>T57</f>
        <v>1</v>
      </c>
      <c r="W57" s="199">
        <f>O57+Q57+S57+U57</f>
        <v>99167400</v>
      </c>
      <c r="X57" s="202">
        <f>V57/K57*100%</f>
        <v>1</v>
      </c>
      <c r="Y57" s="202">
        <f t="shared" si="2"/>
        <v>0.99770512749571161</v>
      </c>
      <c r="Z57" s="199">
        <f>V57+I57</f>
        <v>1</v>
      </c>
      <c r="AA57" s="199">
        <f t="shared" si="0"/>
        <v>99167400</v>
      </c>
      <c r="AB57" s="203">
        <f>IFERROR(Z57/G57,0)</f>
        <v>0</v>
      </c>
      <c r="AC57" s="204">
        <f>IFERROR(AA57/H57,0)</f>
        <v>0</v>
      </c>
      <c r="AD57" s="230"/>
      <c r="AE57" s="105"/>
      <c r="AF57" s="106"/>
      <c r="AG57" s="106"/>
      <c r="AH57" s="107"/>
      <c r="AI57" s="107"/>
      <c r="AJ57" s="107"/>
      <c r="AK57" s="106"/>
    </row>
    <row r="58" spans="1:37" s="108" customFormat="1" ht="91.5" customHeight="1" x14ac:dyDescent="0.25">
      <c r="A58" s="100"/>
      <c r="B58" s="101"/>
      <c r="C58" s="239"/>
      <c r="D58" s="239"/>
      <c r="E58" s="238" t="s">
        <v>237</v>
      </c>
      <c r="F58" s="217" t="s">
        <v>238</v>
      </c>
      <c r="G58" s="79">
        <v>0</v>
      </c>
      <c r="H58" s="80">
        <v>0</v>
      </c>
      <c r="I58" s="195">
        <v>0</v>
      </c>
      <c r="J58" s="196">
        <v>0</v>
      </c>
      <c r="K58" s="197">
        <v>94</v>
      </c>
      <c r="L58" s="198" t="s">
        <v>199</v>
      </c>
      <c r="M58" s="207">
        <v>3550900000</v>
      </c>
      <c r="N58" s="215">
        <v>30</v>
      </c>
      <c r="O58" s="207">
        <v>507290000</v>
      </c>
      <c r="P58" s="201">
        <v>20</v>
      </c>
      <c r="Q58" s="201">
        <v>835615171</v>
      </c>
      <c r="R58" s="201">
        <v>18</v>
      </c>
      <c r="S58" s="201">
        <v>853358188</v>
      </c>
      <c r="T58" s="201">
        <v>26</v>
      </c>
      <c r="U58" s="201">
        <v>1319329776</v>
      </c>
      <c r="V58" s="199">
        <f>N58+P58+R58+T58</f>
        <v>94</v>
      </c>
      <c r="W58" s="199">
        <f>O58+Q58+S58+U58</f>
        <v>3515593135</v>
      </c>
      <c r="X58" s="202">
        <f>V58/K58*100%</f>
        <v>1</v>
      </c>
      <c r="Y58" s="202">
        <f t="shared" si="2"/>
        <v>0.99005692500492837</v>
      </c>
      <c r="Z58" s="199">
        <f>V58+I58</f>
        <v>94</v>
      </c>
      <c r="AA58" s="199">
        <f t="shared" si="0"/>
        <v>3515593135</v>
      </c>
      <c r="AB58" s="203">
        <f>IFERROR(Z58/G58,0)</f>
        <v>0</v>
      </c>
      <c r="AC58" s="204">
        <f>IFERROR(AA58/H58,0)</f>
        <v>0</v>
      </c>
      <c r="AD58" s="230"/>
      <c r="AE58" s="105"/>
      <c r="AF58" s="106"/>
      <c r="AG58" s="106"/>
      <c r="AH58" s="107"/>
      <c r="AI58" s="107"/>
      <c r="AJ58" s="107"/>
      <c r="AK58" s="106"/>
    </row>
    <row r="59" spans="1:37" s="117" customFormat="1" ht="105.6" customHeight="1" x14ac:dyDescent="0.25">
      <c r="A59" s="109"/>
      <c r="B59" s="110"/>
      <c r="C59" s="244"/>
      <c r="D59" s="244"/>
      <c r="E59" s="235" t="s">
        <v>240</v>
      </c>
      <c r="F59" s="236"/>
      <c r="G59" s="61"/>
      <c r="H59" s="62"/>
      <c r="I59" s="183"/>
      <c r="J59" s="184"/>
      <c r="K59" s="185"/>
      <c r="L59" s="186"/>
      <c r="M59" s="187">
        <f>M60+M61+M62+M63+M65+M64</f>
        <v>633601670</v>
      </c>
      <c r="N59" s="187"/>
      <c r="O59" s="187">
        <f>O60+O61+O62+O63+O64+O65</f>
        <v>67039400</v>
      </c>
      <c r="P59" s="188"/>
      <c r="Q59" s="187">
        <f>0+Q60+Q61+Q62+Q63+Q64+Q65</f>
        <v>217314750</v>
      </c>
      <c r="R59" s="188"/>
      <c r="S59" s="187">
        <f>0+S60+S61+S62+S63+S65+S64</f>
        <v>120230944</v>
      </c>
      <c r="T59" s="188"/>
      <c r="U59" s="187">
        <f>U60+U61+U62+U63+U64+U65</f>
        <v>221938090</v>
      </c>
      <c r="V59" s="237"/>
      <c r="W59" s="187">
        <f>W60+W61+W62+W63+W65+W64</f>
        <v>626523184</v>
      </c>
      <c r="X59" s="189"/>
      <c r="Y59" s="189">
        <f>W59/M59*100%</f>
        <v>0.98882817654189581</v>
      </c>
      <c r="Z59" s="190"/>
      <c r="AA59" s="187">
        <f t="shared" si="0"/>
        <v>626523184</v>
      </c>
      <c r="AB59" s="191"/>
      <c r="AC59" s="187" t="e">
        <f>0+#REF!+#REF!+AC60+AC61+AC62+AC63+AC65</f>
        <v>#REF!</v>
      </c>
      <c r="AD59" s="192"/>
      <c r="AE59" s="114"/>
      <c r="AF59" s="115"/>
      <c r="AG59" s="115"/>
      <c r="AH59" s="116"/>
      <c r="AI59" s="116"/>
      <c r="AJ59" s="116"/>
      <c r="AK59" s="115"/>
    </row>
    <row r="60" spans="1:37" s="108" customFormat="1" ht="91.5" customHeight="1" x14ac:dyDescent="0.25">
      <c r="A60" s="100"/>
      <c r="B60" s="101"/>
      <c r="C60" s="239"/>
      <c r="D60" s="239"/>
      <c r="E60" s="238" t="s">
        <v>246</v>
      </c>
      <c r="F60" s="217" t="s">
        <v>247</v>
      </c>
      <c r="G60" s="79">
        <v>0</v>
      </c>
      <c r="H60" s="80">
        <v>0</v>
      </c>
      <c r="I60" s="195">
        <v>0</v>
      </c>
      <c r="J60" s="196">
        <v>0</v>
      </c>
      <c r="K60" s="197">
        <v>1</v>
      </c>
      <c r="L60" s="198" t="s">
        <v>199</v>
      </c>
      <c r="M60" s="207">
        <v>194536000</v>
      </c>
      <c r="N60" s="200" t="s">
        <v>161</v>
      </c>
      <c r="O60" s="207">
        <v>7582400</v>
      </c>
      <c r="P60" s="201">
        <v>1</v>
      </c>
      <c r="Q60" s="201">
        <v>107021400</v>
      </c>
      <c r="R60" s="201">
        <v>0</v>
      </c>
      <c r="S60" s="201">
        <v>24904144</v>
      </c>
      <c r="T60" s="201">
        <v>0</v>
      </c>
      <c r="U60" s="201">
        <v>51538400</v>
      </c>
      <c r="V60" s="199">
        <f>N60+P60</f>
        <v>1</v>
      </c>
      <c r="W60" s="199">
        <f>O60+Q60+S60+U60</f>
        <v>191046344</v>
      </c>
      <c r="X60" s="202">
        <f t="shared" ref="X60:X65" si="16">V60/K60*100%</f>
        <v>1</v>
      </c>
      <c r="Y60" s="202">
        <f t="shared" si="2"/>
        <v>0.98206164411728425</v>
      </c>
      <c r="Z60" s="199">
        <f t="shared" ref="Z60:Z65" si="17">V60+I60</f>
        <v>1</v>
      </c>
      <c r="AA60" s="199">
        <f t="shared" si="0"/>
        <v>191046344</v>
      </c>
      <c r="AB60" s="203">
        <f t="shared" ref="AB60:AC65" si="18">IFERROR(Z60/G60,0)</f>
        <v>0</v>
      </c>
      <c r="AC60" s="204">
        <f t="shared" si="18"/>
        <v>0</v>
      </c>
      <c r="AD60" s="230"/>
      <c r="AE60" s="105"/>
      <c r="AF60" s="106"/>
      <c r="AG60" s="106"/>
      <c r="AH60" s="107"/>
      <c r="AI60" s="107"/>
      <c r="AJ60" s="107"/>
      <c r="AK60" s="106"/>
    </row>
    <row r="61" spans="1:37" s="117" customFormat="1" ht="91.5" customHeight="1" x14ac:dyDescent="0.25">
      <c r="A61" s="109"/>
      <c r="B61" s="110"/>
      <c r="C61" s="239"/>
      <c r="D61" s="239"/>
      <c r="E61" s="238" t="s">
        <v>249</v>
      </c>
      <c r="F61" s="246" t="s">
        <v>250</v>
      </c>
      <c r="G61" s="247">
        <v>0</v>
      </c>
      <c r="H61" s="81">
        <v>0</v>
      </c>
      <c r="I61" s="227">
        <v>0</v>
      </c>
      <c r="J61" s="196">
        <v>0</v>
      </c>
      <c r="K61" s="228">
        <v>1</v>
      </c>
      <c r="L61" s="198" t="s">
        <v>160</v>
      </c>
      <c r="M61" s="207">
        <v>36000000</v>
      </c>
      <c r="N61" s="200" t="s">
        <v>161</v>
      </c>
      <c r="O61" s="207">
        <v>6000000</v>
      </c>
      <c r="P61" s="201">
        <v>1</v>
      </c>
      <c r="Q61" s="201">
        <v>12000000</v>
      </c>
      <c r="R61" s="201">
        <v>0</v>
      </c>
      <c r="S61" s="201">
        <v>6000000</v>
      </c>
      <c r="T61" s="201">
        <v>0</v>
      </c>
      <c r="U61" s="201">
        <v>12000000</v>
      </c>
      <c r="V61" s="207">
        <f>N61+P61</f>
        <v>1</v>
      </c>
      <c r="W61" s="207">
        <f>O61+Q61+S61+U61</f>
        <v>36000000</v>
      </c>
      <c r="X61" s="248">
        <f t="shared" si="16"/>
        <v>1</v>
      </c>
      <c r="Y61" s="248">
        <f t="shared" si="2"/>
        <v>1</v>
      </c>
      <c r="Z61" s="207">
        <f t="shared" si="17"/>
        <v>1</v>
      </c>
      <c r="AA61" s="207">
        <f t="shared" si="0"/>
        <v>36000000</v>
      </c>
      <c r="AB61" s="249">
        <f t="shared" si="18"/>
        <v>0</v>
      </c>
      <c r="AC61" s="250">
        <f t="shared" si="18"/>
        <v>0</v>
      </c>
      <c r="AD61" s="230"/>
      <c r="AE61" s="105"/>
      <c r="AF61" s="115"/>
      <c r="AG61" s="115"/>
      <c r="AH61" s="116"/>
      <c r="AI61" s="116"/>
      <c r="AJ61" s="116"/>
      <c r="AK61" s="115"/>
    </row>
    <row r="62" spans="1:37" s="117" customFormat="1" ht="91.5" customHeight="1" x14ac:dyDescent="0.25">
      <c r="A62" s="109"/>
      <c r="B62" s="110"/>
      <c r="C62" s="239"/>
      <c r="D62" s="239"/>
      <c r="E62" s="238" t="s">
        <v>252</v>
      </c>
      <c r="F62" s="217" t="s">
        <v>253</v>
      </c>
      <c r="G62" s="79">
        <v>0</v>
      </c>
      <c r="H62" s="80">
        <v>0</v>
      </c>
      <c r="I62" s="195">
        <v>0</v>
      </c>
      <c r="J62" s="196">
        <v>0</v>
      </c>
      <c r="K62" s="197">
        <v>1</v>
      </c>
      <c r="L62" s="198" t="s">
        <v>160</v>
      </c>
      <c r="M62" s="207">
        <v>24940510</v>
      </c>
      <c r="N62" s="200" t="s">
        <v>161</v>
      </c>
      <c r="O62" s="207">
        <v>1360000</v>
      </c>
      <c r="P62" s="201">
        <v>0</v>
      </c>
      <c r="Q62" s="201">
        <v>3840000</v>
      </c>
      <c r="R62" s="201">
        <v>0</v>
      </c>
      <c r="S62" s="201">
        <v>13447200</v>
      </c>
      <c r="T62" s="201">
        <v>0</v>
      </c>
      <c r="U62" s="201">
        <v>5562400</v>
      </c>
      <c r="V62" s="199">
        <v>1</v>
      </c>
      <c r="W62" s="199">
        <f>SUM(O62,Q62,S62,U62)</f>
        <v>24209600</v>
      </c>
      <c r="X62" s="202">
        <f t="shared" si="16"/>
        <v>1</v>
      </c>
      <c r="Y62" s="202">
        <f t="shared" si="2"/>
        <v>0.97069386311667238</v>
      </c>
      <c r="Z62" s="199">
        <f t="shared" si="17"/>
        <v>1</v>
      </c>
      <c r="AA62" s="199">
        <f t="shared" si="0"/>
        <v>24209600</v>
      </c>
      <c r="AB62" s="203">
        <f t="shared" si="18"/>
        <v>0</v>
      </c>
      <c r="AC62" s="204">
        <f t="shared" si="18"/>
        <v>0</v>
      </c>
      <c r="AD62" s="230"/>
      <c r="AE62" s="114"/>
      <c r="AF62" s="115"/>
      <c r="AG62" s="115"/>
      <c r="AH62" s="116"/>
      <c r="AI62" s="116"/>
      <c r="AJ62" s="116"/>
      <c r="AK62" s="115"/>
    </row>
    <row r="63" spans="1:37" s="108" customFormat="1" ht="91.5" customHeight="1" x14ac:dyDescent="0.25">
      <c r="A63" s="100"/>
      <c r="B63" s="101"/>
      <c r="C63" s="239"/>
      <c r="D63" s="239"/>
      <c r="E63" s="238" t="s">
        <v>254</v>
      </c>
      <c r="F63" s="217" t="s">
        <v>255</v>
      </c>
      <c r="G63" s="79">
        <v>0</v>
      </c>
      <c r="H63" s="80">
        <v>0</v>
      </c>
      <c r="I63" s="195">
        <v>0</v>
      </c>
      <c r="J63" s="196">
        <v>0</v>
      </c>
      <c r="K63" s="197">
        <v>5</v>
      </c>
      <c r="L63" s="198" t="s">
        <v>199</v>
      </c>
      <c r="M63" s="207">
        <v>226840000</v>
      </c>
      <c r="N63" s="200">
        <v>1</v>
      </c>
      <c r="O63" s="207">
        <v>43970000</v>
      </c>
      <c r="P63" s="201">
        <v>3</v>
      </c>
      <c r="Q63" s="201">
        <v>74405000</v>
      </c>
      <c r="R63" s="201">
        <v>0</v>
      </c>
      <c r="S63" s="201">
        <v>36380000</v>
      </c>
      <c r="T63" s="201">
        <v>1</v>
      </c>
      <c r="U63" s="201">
        <v>71965000</v>
      </c>
      <c r="V63" s="199">
        <f>N63+P63+T63</f>
        <v>5</v>
      </c>
      <c r="W63" s="199">
        <f>SUM(O63,Q63,S63,U63)</f>
        <v>226720000</v>
      </c>
      <c r="X63" s="202">
        <f t="shared" si="16"/>
        <v>1</v>
      </c>
      <c r="Y63" s="202">
        <f t="shared" si="2"/>
        <v>0.99947099277023455</v>
      </c>
      <c r="Z63" s="243">
        <f t="shared" si="17"/>
        <v>5</v>
      </c>
      <c r="AA63" s="199">
        <f t="shared" si="0"/>
        <v>226720000</v>
      </c>
      <c r="AB63" s="203">
        <f t="shared" si="18"/>
        <v>0</v>
      </c>
      <c r="AC63" s="204">
        <f t="shared" si="18"/>
        <v>0</v>
      </c>
      <c r="AD63" s="230"/>
      <c r="AE63" s="105"/>
      <c r="AF63" s="106"/>
      <c r="AG63" s="106"/>
      <c r="AH63" s="107"/>
      <c r="AI63" s="107"/>
      <c r="AJ63" s="107"/>
      <c r="AK63" s="106"/>
    </row>
    <row r="64" spans="1:37" s="108" customFormat="1" ht="114" customHeight="1" x14ac:dyDescent="0.25">
      <c r="A64" s="100"/>
      <c r="B64" s="101"/>
      <c r="C64" s="239"/>
      <c r="D64" s="239"/>
      <c r="E64" s="238" t="s">
        <v>257</v>
      </c>
      <c r="F64" s="217" t="s">
        <v>258</v>
      </c>
      <c r="G64" s="79">
        <v>0</v>
      </c>
      <c r="H64" s="80">
        <v>0</v>
      </c>
      <c r="I64" s="195">
        <v>0</v>
      </c>
      <c r="J64" s="196">
        <v>0</v>
      </c>
      <c r="K64" s="251">
        <v>1</v>
      </c>
      <c r="L64" s="198" t="s">
        <v>160</v>
      </c>
      <c r="M64" s="207">
        <v>76312660</v>
      </c>
      <c r="N64" s="200" t="s">
        <v>161</v>
      </c>
      <c r="O64" s="207">
        <v>3450000</v>
      </c>
      <c r="P64" s="201">
        <v>0</v>
      </c>
      <c r="Q64" s="201">
        <v>18398350</v>
      </c>
      <c r="R64" s="201">
        <v>0</v>
      </c>
      <c r="S64" s="201">
        <v>8669600</v>
      </c>
      <c r="T64" s="201">
        <v>1</v>
      </c>
      <c r="U64" s="201">
        <v>43159290</v>
      </c>
      <c r="V64" s="199">
        <f>T64</f>
        <v>1</v>
      </c>
      <c r="W64" s="199">
        <f>SUM(O64,Q64,S64,U64)</f>
        <v>73677240</v>
      </c>
      <c r="X64" s="202">
        <f t="shared" si="16"/>
        <v>1</v>
      </c>
      <c r="Y64" s="202">
        <f t="shared" si="2"/>
        <v>0.9654654941919204</v>
      </c>
      <c r="Z64" s="199">
        <f>V64+I64</f>
        <v>1</v>
      </c>
      <c r="AA64" s="199">
        <f t="shared" si="0"/>
        <v>73677240</v>
      </c>
      <c r="AB64" s="203">
        <v>0</v>
      </c>
      <c r="AC64" s="204">
        <v>0</v>
      </c>
      <c r="AD64" s="230"/>
      <c r="AE64" s="105"/>
      <c r="AF64" s="106"/>
      <c r="AG64" s="106"/>
      <c r="AH64" s="107"/>
      <c r="AI64" s="107"/>
      <c r="AJ64" s="107"/>
      <c r="AK64" s="106"/>
    </row>
    <row r="65" spans="1:37" s="108" customFormat="1" ht="91.5" customHeight="1" x14ac:dyDescent="0.25">
      <c r="A65" s="100"/>
      <c r="B65" s="101"/>
      <c r="C65" s="239"/>
      <c r="D65" s="239"/>
      <c r="E65" s="238" t="s">
        <v>325</v>
      </c>
      <c r="F65" s="217" t="s">
        <v>326</v>
      </c>
      <c r="G65" s="79">
        <v>0</v>
      </c>
      <c r="H65" s="80">
        <v>0</v>
      </c>
      <c r="I65" s="195">
        <v>0</v>
      </c>
      <c r="J65" s="196">
        <v>0</v>
      </c>
      <c r="K65" s="197">
        <v>1</v>
      </c>
      <c r="L65" s="198" t="s">
        <v>160</v>
      </c>
      <c r="M65" s="207">
        <v>74972500</v>
      </c>
      <c r="N65" s="200" t="s">
        <v>161</v>
      </c>
      <c r="O65" s="207">
        <v>4677000</v>
      </c>
      <c r="P65" s="201">
        <v>0</v>
      </c>
      <c r="Q65" s="201">
        <v>1650000</v>
      </c>
      <c r="R65" s="201">
        <v>0</v>
      </c>
      <c r="S65" s="201">
        <v>30830000</v>
      </c>
      <c r="T65" s="201">
        <v>1</v>
      </c>
      <c r="U65" s="201">
        <v>37713000</v>
      </c>
      <c r="V65" s="199">
        <f>T65</f>
        <v>1</v>
      </c>
      <c r="W65" s="199">
        <f>SUM(O65,Q65,S65,U65)</f>
        <v>74870000</v>
      </c>
      <c r="X65" s="202">
        <f t="shared" si="16"/>
        <v>1</v>
      </c>
      <c r="Y65" s="202">
        <f t="shared" si="2"/>
        <v>0.99863283203841413</v>
      </c>
      <c r="Z65" s="199">
        <f t="shared" si="17"/>
        <v>1</v>
      </c>
      <c r="AA65" s="199">
        <f t="shared" si="0"/>
        <v>74870000</v>
      </c>
      <c r="AB65" s="203">
        <f t="shared" si="18"/>
        <v>0</v>
      </c>
      <c r="AC65" s="204">
        <f t="shared" si="18"/>
        <v>0</v>
      </c>
      <c r="AD65" s="230"/>
      <c r="AE65" s="105"/>
      <c r="AF65" s="106"/>
      <c r="AG65" s="106"/>
      <c r="AH65" s="107"/>
      <c r="AI65" s="107"/>
      <c r="AJ65" s="107"/>
      <c r="AK65" s="106"/>
    </row>
    <row r="66" spans="1:37" s="108" customFormat="1" ht="97.5" customHeight="1" x14ac:dyDescent="0.25">
      <c r="A66" s="100"/>
      <c r="B66" s="101"/>
      <c r="C66" s="244"/>
      <c r="D66" s="244"/>
      <c r="E66" s="235" t="s">
        <v>261</v>
      </c>
      <c r="F66" s="236"/>
      <c r="G66" s="61"/>
      <c r="H66" s="62"/>
      <c r="I66" s="183"/>
      <c r="J66" s="184"/>
      <c r="K66" s="185"/>
      <c r="L66" s="186"/>
      <c r="M66" s="187">
        <f>M67</f>
        <v>52020000</v>
      </c>
      <c r="N66" s="245"/>
      <c r="O66" s="187">
        <f>O67</f>
        <v>5660000</v>
      </c>
      <c r="P66" s="188"/>
      <c r="Q66" s="187">
        <f>Q67</f>
        <v>20842000</v>
      </c>
      <c r="R66" s="188"/>
      <c r="S66" s="187">
        <f>S67</f>
        <v>17270000</v>
      </c>
      <c r="T66" s="188"/>
      <c r="U66" s="187">
        <f>U67</f>
        <v>7840000</v>
      </c>
      <c r="V66" s="237"/>
      <c r="W66" s="187">
        <f>W67</f>
        <v>51612000</v>
      </c>
      <c r="X66" s="189"/>
      <c r="Y66" s="189">
        <f t="shared" si="2"/>
        <v>0.99215686274509807</v>
      </c>
      <c r="Z66" s="190"/>
      <c r="AA66" s="187">
        <f t="shared" si="0"/>
        <v>51612000</v>
      </c>
      <c r="AB66" s="191"/>
      <c r="AC66" s="187" t="e">
        <f>AC67+#REF!</f>
        <v>#REF!</v>
      </c>
      <c r="AD66" s="192"/>
      <c r="AE66" s="105"/>
      <c r="AF66" s="106"/>
      <c r="AG66" s="106"/>
      <c r="AH66" s="107"/>
      <c r="AI66" s="107"/>
      <c r="AJ66" s="107"/>
      <c r="AK66" s="106"/>
    </row>
    <row r="67" spans="1:37" s="108" customFormat="1" ht="108" customHeight="1" x14ac:dyDescent="0.25">
      <c r="A67" s="100"/>
      <c r="B67" s="101"/>
      <c r="C67" s="239"/>
      <c r="D67" s="239"/>
      <c r="E67" s="238" t="s">
        <v>262</v>
      </c>
      <c r="F67" s="217" t="s">
        <v>263</v>
      </c>
      <c r="G67" s="79">
        <v>0</v>
      </c>
      <c r="H67" s="80">
        <v>0</v>
      </c>
      <c r="I67" s="195">
        <v>0</v>
      </c>
      <c r="J67" s="196">
        <v>0</v>
      </c>
      <c r="K67" s="197">
        <v>1000</v>
      </c>
      <c r="L67" s="198" t="s">
        <v>160</v>
      </c>
      <c r="M67" s="207">
        <v>52020000</v>
      </c>
      <c r="N67" s="215">
        <v>250</v>
      </c>
      <c r="O67" s="207">
        <v>5660000</v>
      </c>
      <c r="P67" s="201">
        <v>350</v>
      </c>
      <c r="Q67" s="201">
        <v>20842000</v>
      </c>
      <c r="R67" s="201">
        <v>150</v>
      </c>
      <c r="S67" s="208">
        <v>17270000</v>
      </c>
      <c r="T67" s="201">
        <v>250</v>
      </c>
      <c r="U67" s="201">
        <v>7840000</v>
      </c>
      <c r="V67" s="199">
        <f>N67+P67+R67+T67</f>
        <v>1000</v>
      </c>
      <c r="W67" s="199">
        <f>O67+Q67+S67+U67</f>
        <v>51612000</v>
      </c>
      <c r="X67" s="202">
        <f>V67/K67*100%</f>
        <v>1</v>
      </c>
      <c r="Y67" s="202">
        <f t="shared" si="2"/>
        <v>0.99215686274509807</v>
      </c>
      <c r="Z67" s="199">
        <f>V67+I67</f>
        <v>1000</v>
      </c>
      <c r="AA67" s="199">
        <f t="shared" si="0"/>
        <v>51612000</v>
      </c>
      <c r="AB67" s="203">
        <f>IFERROR(Z67/G67,0)</f>
        <v>0</v>
      </c>
      <c r="AC67" s="204">
        <f>IFERROR(AA67/H67,0)</f>
        <v>0</v>
      </c>
      <c r="AD67" s="230"/>
      <c r="AE67" s="105"/>
      <c r="AF67" s="106"/>
      <c r="AG67" s="106"/>
      <c r="AH67" s="107"/>
      <c r="AI67" s="107"/>
      <c r="AJ67" s="107"/>
      <c r="AK67" s="106"/>
    </row>
    <row r="68" spans="1:37" s="108" customFormat="1" ht="134.44999999999999" customHeight="1" x14ac:dyDescent="0.25">
      <c r="A68" s="100"/>
      <c r="B68" s="101"/>
      <c r="C68" s="244"/>
      <c r="D68" s="244"/>
      <c r="E68" s="235" t="s">
        <v>268</v>
      </c>
      <c r="F68" s="236"/>
      <c r="G68" s="61"/>
      <c r="H68" s="62"/>
      <c r="I68" s="183"/>
      <c r="J68" s="184"/>
      <c r="K68" s="185"/>
      <c r="L68" s="186"/>
      <c r="M68" s="187">
        <f>M69+M70</f>
        <v>162242500</v>
      </c>
      <c r="N68" s="245"/>
      <c r="O68" s="187">
        <f>O70</f>
        <v>6000000</v>
      </c>
      <c r="P68" s="188"/>
      <c r="Q68" s="187">
        <f>Q70</f>
        <v>84250000</v>
      </c>
      <c r="R68" s="188"/>
      <c r="S68" s="187">
        <f>S70</f>
        <v>6900000</v>
      </c>
      <c r="T68" s="188"/>
      <c r="U68" s="187">
        <f>U69+U70</f>
        <v>64542800</v>
      </c>
      <c r="V68" s="237"/>
      <c r="W68" s="187">
        <f>W70+W69</f>
        <v>161692800</v>
      </c>
      <c r="X68" s="189"/>
      <c r="Y68" s="189">
        <f t="shared" si="2"/>
        <v>0.9966118618734302</v>
      </c>
      <c r="Z68" s="190"/>
      <c r="AA68" s="187">
        <f t="shared" si="0"/>
        <v>161692800</v>
      </c>
      <c r="AB68" s="191"/>
      <c r="AC68" s="187" t="e">
        <f>#REF!+AC70</f>
        <v>#REF!</v>
      </c>
      <c r="AD68" s="192"/>
      <c r="AE68" s="105"/>
      <c r="AF68" s="106"/>
      <c r="AG68" s="106"/>
      <c r="AH68" s="107"/>
      <c r="AI68" s="107"/>
      <c r="AJ68" s="107"/>
      <c r="AK68" s="106"/>
    </row>
    <row r="69" spans="1:37" s="108" customFormat="1" ht="169.5" customHeight="1" x14ac:dyDescent="0.25">
      <c r="A69" s="100"/>
      <c r="B69" s="101"/>
      <c r="C69" s="239"/>
      <c r="D69" s="239"/>
      <c r="E69" s="238" t="s">
        <v>327</v>
      </c>
      <c r="F69" s="217"/>
      <c r="G69" s="79">
        <v>0</v>
      </c>
      <c r="H69" s="80">
        <v>0</v>
      </c>
      <c r="I69" s="195">
        <v>0</v>
      </c>
      <c r="J69" s="196">
        <v>0</v>
      </c>
      <c r="K69" s="197">
        <v>1</v>
      </c>
      <c r="L69" s="198" t="s">
        <v>316</v>
      </c>
      <c r="M69" s="207">
        <v>40322500</v>
      </c>
      <c r="N69" s="252">
        <v>0</v>
      </c>
      <c r="O69" s="207">
        <v>0</v>
      </c>
      <c r="P69" s="200"/>
      <c r="Q69" s="201"/>
      <c r="R69" s="200"/>
      <c r="S69" s="201"/>
      <c r="T69" s="200">
        <v>1</v>
      </c>
      <c r="U69" s="201">
        <v>40010000</v>
      </c>
      <c r="V69" s="199">
        <f>T69</f>
        <v>1</v>
      </c>
      <c r="W69" s="199">
        <f>U69</f>
        <v>40010000</v>
      </c>
      <c r="X69" s="202">
        <f>V69/K69*100%</f>
        <v>1</v>
      </c>
      <c r="Y69" s="202">
        <f t="shared" si="2"/>
        <v>0.99224998449996904</v>
      </c>
      <c r="Z69" s="243">
        <f>V69+I69</f>
        <v>1</v>
      </c>
      <c r="AA69" s="199">
        <f t="shared" si="0"/>
        <v>40010000</v>
      </c>
      <c r="AB69" s="203">
        <f>IFERROR(Z69/G69,0)</f>
        <v>0</v>
      </c>
      <c r="AC69" s="204">
        <f>IFERROR(AA69/H69,0)</f>
        <v>0</v>
      </c>
      <c r="AD69" s="230"/>
      <c r="AE69" s="105"/>
      <c r="AF69" s="106"/>
      <c r="AG69" s="106"/>
      <c r="AH69" s="107"/>
      <c r="AI69" s="107"/>
      <c r="AJ69" s="107"/>
      <c r="AK69" s="106"/>
    </row>
    <row r="70" spans="1:37" s="108" customFormat="1" ht="91.5" customHeight="1" x14ac:dyDescent="0.25">
      <c r="A70" s="100"/>
      <c r="B70" s="101"/>
      <c r="C70" s="239"/>
      <c r="D70" s="239"/>
      <c r="E70" s="238" t="s">
        <v>272</v>
      </c>
      <c r="F70" s="217" t="s">
        <v>273</v>
      </c>
      <c r="G70" s="79">
        <v>0</v>
      </c>
      <c r="H70" s="80">
        <v>0</v>
      </c>
      <c r="I70" s="195">
        <v>0</v>
      </c>
      <c r="J70" s="196">
        <v>0</v>
      </c>
      <c r="K70" s="197">
        <v>37</v>
      </c>
      <c r="L70" s="198" t="s">
        <v>328</v>
      </c>
      <c r="M70" s="207">
        <v>121920000</v>
      </c>
      <c r="N70" s="252">
        <v>9</v>
      </c>
      <c r="O70" s="207">
        <v>6000000</v>
      </c>
      <c r="P70" s="200">
        <v>16</v>
      </c>
      <c r="Q70" s="201">
        <v>84250000</v>
      </c>
      <c r="R70" s="200">
        <v>5</v>
      </c>
      <c r="S70" s="201">
        <v>6900000</v>
      </c>
      <c r="T70" s="200">
        <v>7</v>
      </c>
      <c r="U70" s="201">
        <v>24532800</v>
      </c>
      <c r="V70" s="199">
        <f>N70+P70+R70+T70</f>
        <v>37</v>
      </c>
      <c r="W70" s="199">
        <f>O70+Q70+S70+U70</f>
        <v>121682800</v>
      </c>
      <c r="X70" s="202">
        <f>V70/K70*100%</f>
        <v>1</v>
      </c>
      <c r="Y70" s="202">
        <f t="shared" si="2"/>
        <v>0.99805446194225722</v>
      </c>
      <c r="Z70" s="243">
        <f>V70+I70</f>
        <v>37</v>
      </c>
      <c r="AA70" s="199">
        <f t="shared" si="0"/>
        <v>121682800</v>
      </c>
      <c r="AB70" s="203">
        <f>IFERROR(Z70/G70,0)</f>
        <v>0</v>
      </c>
      <c r="AC70" s="204">
        <f>IFERROR(AA70/H70,0)</f>
        <v>0</v>
      </c>
      <c r="AD70" s="230"/>
      <c r="AE70" s="105"/>
      <c r="AF70" s="106"/>
      <c r="AG70" s="106"/>
      <c r="AH70" s="107"/>
      <c r="AI70" s="107"/>
      <c r="AJ70" s="107"/>
      <c r="AK70" s="106"/>
    </row>
    <row r="71" spans="1:37" s="117" customFormat="1" ht="24.75" customHeight="1" x14ac:dyDescent="0.25">
      <c r="A71" s="109"/>
      <c r="B71" s="110"/>
      <c r="C71" s="101"/>
      <c r="D71" s="101"/>
      <c r="E71" s="193"/>
      <c r="F71" s="193"/>
      <c r="G71" s="79"/>
      <c r="H71" s="80"/>
      <c r="I71" s="195"/>
      <c r="J71" s="253"/>
      <c r="K71" s="319"/>
      <c r="L71" s="320"/>
      <c r="M71" s="199"/>
      <c r="N71" s="331" t="s">
        <v>277</v>
      </c>
      <c r="O71" s="331"/>
      <c r="P71" s="331"/>
      <c r="Q71" s="331"/>
      <c r="R71" s="331"/>
      <c r="S71" s="331"/>
      <c r="T71" s="331"/>
      <c r="U71" s="331"/>
      <c r="V71" s="331"/>
      <c r="W71" s="331"/>
      <c r="X71" s="254">
        <f>SUMPRODUCT(X15:X70,M15:M70)/M73</f>
        <v>0.99947059021628071</v>
      </c>
      <c r="Y71" s="254">
        <f>IFERROR(W73/M73,0)</f>
        <v>0.98266896614630894</v>
      </c>
      <c r="Z71" s="255"/>
      <c r="AA71" s="199"/>
      <c r="AB71" s="203"/>
      <c r="AC71" s="204"/>
      <c r="AD71" s="205"/>
      <c r="AE71" s="114"/>
      <c r="AF71" s="115"/>
      <c r="AG71" s="115"/>
      <c r="AH71" s="116"/>
      <c r="AI71" s="116"/>
      <c r="AJ71" s="116"/>
      <c r="AK71" s="115"/>
    </row>
    <row r="72" spans="1:37" s="108" customFormat="1" ht="38.1" customHeight="1" x14ac:dyDescent="0.25">
      <c r="A72" s="100"/>
      <c r="B72" s="101"/>
      <c r="C72" s="101"/>
      <c r="D72" s="101"/>
      <c r="E72" s="193"/>
      <c r="F72" s="193"/>
      <c r="G72" s="79"/>
      <c r="H72" s="80"/>
      <c r="I72" s="195"/>
      <c r="J72" s="253"/>
      <c r="K72" s="319"/>
      <c r="L72" s="320"/>
      <c r="M72" s="199"/>
      <c r="N72" s="331" t="s">
        <v>278</v>
      </c>
      <c r="O72" s="331"/>
      <c r="P72" s="331"/>
      <c r="Q72" s="331"/>
      <c r="R72" s="331"/>
      <c r="S72" s="331"/>
      <c r="T72" s="331"/>
      <c r="U72" s="331"/>
      <c r="V72" s="331"/>
      <c r="W72" s="331"/>
      <c r="X72" s="254" t="str">
        <f>IF(X71&gt;0.9,"Sangat Tinggi",IF(X71&gt;0.75,"Tinggi",IF(X71&gt;0.65,"Sedang",IF(X71&gt;0.5,"Rendah","Sangat Rendah"))))</f>
        <v>Sangat Tinggi</v>
      </c>
      <c r="Y72" s="254" t="str">
        <f>IF(Y71&gt;0.9,"Sangat Tinggi",IF(Y71&gt;0.75,"Tinggi",IF(Y71&gt;0.65,"Sedang",IF(Y71&gt;0.5,"Rendah","Sangat Rendah"))))</f>
        <v>Sangat Tinggi</v>
      </c>
      <c r="Z72" s="255"/>
      <c r="AA72" s="199"/>
      <c r="AB72" s="203"/>
      <c r="AC72" s="204"/>
      <c r="AD72" s="205"/>
      <c r="AE72" s="105"/>
      <c r="AF72" s="106"/>
      <c r="AG72" s="106"/>
      <c r="AH72" s="107"/>
      <c r="AI72" s="107"/>
      <c r="AJ72" s="107"/>
      <c r="AK72" s="106"/>
    </row>
    <row r="73" spans="1:37" s="108" customFormat="1" ht="33.75" customHeight="1" x14ac:dyDescent="0.25">
      <c r="A73" s="100"/>
      <c r="B73" s="101"/>
      <c r="C73" s="101"/>
      <c r="D73" s="101"/>
      <c r="E73" s="256"/>
      <c r="F73" s="256"/>
      <c r="G73" s="130"/>
      <c r="H73" s="130"/>
      <c r="I73" s="257"/>
      <c r="J73" s="257"/>
      <c r="K73" s="319"/>
      <c r="L73" s="320"/>
      <c r="M73" s="258">
        <f>+M15</f>
        <v>13754940358</v>
      </c>
      <c r="N73" s="332" t="s">
        <v>279</v>
      </c>
      <c r="O73" s="333"/>
      <c r="P73" s="333"/>
      <c r="Q73" s="333"/>
      <c r="R73" s="333"/>
      <c r="S73" s="333"/>
      <c r="T73" s="333"/>
      <c r="U73" s="333"/>
      <c r="V73" s="334"/>
      <c r="W73" s="258">
        <f>+W15</f>
        <v>13516553021</v>
      </c>
      <c r="X73" s="254">
        <f>+(0+X71*M73)/M73</f>
        <v>0.99947059021628071</v>
      </c>
      <c r="Y73" s="254">
        <f>(0+W73)/M73</f>
        <v>0.98266896614630894</v>
      </c>
      <c r="Z73" s="259"/>
      <c r="AA73" s="259"/>
      <c r="AB73" s="259"/>
      <c r="AC73" s="260"/>
      <c r="AD73" s="261"/>
      <c r="AE73" s="105"/>
      <c r="AF73" s="106"/>
      <c r="AG73" s="106"/>
      <c r="AH73" s="107"/>
      <c r="AI73" s="107"/>
      <c r="AJ73" s="107"/>
      <c r="AK73" s="106"/>
    </row>
    <row r="74" spans="1:37" s="117" customFormat="1" ht="42.95" customHeight="1" x14ac:dyDescent="0.25">
      <c r="A74" s="109"/>
      <c r="B74" s="110"/>
      <c r="C74" s="262"/>
      <c r="D74" s="262"/>
      <c r="E74" s="263"/>
      <c r="F74" s="263"/>
      <c r="G74" s="264"/>
      <c r="H74" s="264"/>
      <c r="I74" s="265"/>
      <c r="J74" s="265"/>
      <c r="K74" s="336"/>
      <c r="L74" s="337"/>
      <c r="M74" s="266"/>
      <c r="N74" s="338" t="s">
        <v>280</v>
      </c>
      <c r="O74" s="339"/>
      <c r="P74" s="339"/>
      <c r="Q74" s="339"/>
      <c r="R74" s="339"/>
      <c r="S74" s="339"/>
      <c r="T74" s="339"/>
      <c r="U74" s="339"/>
      <c r="V74" s="339"/>
      <c r="W74" s="340"/>
      <c r="X74" s="267" t="str">
        <f>IF(X73&gt;0.9,"Sangat Tinggi",IF(X73&gt;0.75,"Tinggi",IF(X73&gt;0.65,"Sedang",IF(X73&gt;0.5,"Rendah","Sangat Rendah"))))</f>
        <v>Sangat Tinggi</v>
      </c>
      <c r="Y74" s="267" t="str">
        <f>IF(Y73&gt;0.9,"Sangat Tinggi",IF(Y73&gt;0.75,"Tinggi",IF(Y73&gt;0.65,"Sedang",IF(Y73&gt;0.5,"Rendah","Sangat Rendah"))))</f>
        <v>Sangat Tinggi</v>
      </c>
      <c r="Z74" s="268"/>
      <c r="AA74" s="268"/>
      <c r="AB74" s="268"/>
      <c r="AC74" s="269"/>
      <c r="AD74" s="270"/>
      <c r="AE74" s="271"/>
      <c r="AF74" s="115"/>
      <c r="AG74" s="115"/>
      <c r="AH74" s="116"/>
      <c r="AI74" s="116"/>
      <c r="AJ74" s="116"/>
      <c r="AK74" s="115"/>
    </row>
    <row r="75" spans="1:37" s="117" customFormat="1" ht="42.95" customHeight="1" x14ac:dyDescent="0.25">
      <c r="A75" s="109"/>
      <c r="B75" s="244"/>
      <c r="C75" s="341" t="s">
        <v>329</v>
      </c>
      <c r="D75" s="342"/>
      <c r="E75" s="342"/>
      <c r="F75" s="342"/>
      <c r="G75" s="342"/>
      <c r="H75" s="342"/>
      <c r="I75" s="342"/>
      <c r="J75" s="342"/>
      <c r="K75" s="342"/>
      <c r="L75" s="342"/>
      <c r="M75" s="342"/>
      <c r="N75" s="342"/>
      <c r="O75" s="342"/>
      <c r="P75" s="342"/>
      <c r="Q75" s="342"/>
      <c r="R75" s="342"/>
      <c r="S75" s="342"/>
      <c r="T75" s="342"/>
      <c r="U75" s="342"/>
      <c r="V75" s="342"/>
      <c r="W75" s="342"/>
      <c r="X75" s="342"/>
      <c r="Y75" s="342"/>
      <c r="Z75" s="342"/>
      <c r="AA75" s="342"/>
      <c r="AB75" s="342"/>
      <c r="AC75" s="342"/>
      <c r="AD75" s="342"/>
      <c r="AE75" s="343"/>
      <c r="AF75" s="115"/>
      <c r="AG75" s="115"/>
      <c r="AH75" s="116"/>
      <c r="AI75" s="116"/>
      <c r="AJ75" s="116"/>
      <c r="AK75" s="115"/>
    </row>
    <row r="76" spans="1:37" s="117" customFormat="1" ht="42.95" customHeight="1" x14ac:dyDescent="0.25">
      <c r="A76" s="109"/>
      <c r="B76" s="110"/>
      <c r="C76" s="341" t="s">
        <v>330</v>
      </c>
      <c r="D76" s="342"/>
      <c r="E76" s="342"/>
      <c r="F76" s="342"/>
      <c r="G76" s="342"/>
      <c r="H76" s="342"/>
      <c r="I76" s="342"/>
      <c r="J76" s="342"/>
      <c r="K76" s="342"/>
      <c r="L76" s="342"/>
      <c r="M76" s="342"/>
      <c r="N76" s="342"/>
      <c r="O76" s="342"/>
      <c r="P76" s="342"/>
      <c r="Q76" s="342"/>
      <c r="R76" s="342"/>
      <c r="S76" s="342"/>
      <c r="T76" s="342"/>
      <c r="U76" s="342"/>
      <c r="V76" s="342"/>
      <c r="W76" s="342"/>
      <c r="X76" s="342"/>
      <c r="Y76" s="342"/>
      <c r="Z76" s="342"/>
      <c r="AA76" s="342"/>
      <c r="AB76" s="342"/>
      <c r="AC76" s="342"/>
      <c r="AD76" s="342"/>
      <c r="AE76" s="343"/>
      <c r="AF76" s="115"/>
      <c r="AG76" s="115"/>
      <c r="AH76" s="116"/>
      <c r="AI76" s="116"/>
      <c r="AJ76" s="116"/>
      <c r="AK76" s="115"/>
    </row>
    <row r="77" spans="1:37" s="117" customFormat="1" ht="42.95" customHeight="1" x14ac:dyDescent="0.25">
      <c r="A77" s="109"/>
      <c r="B77" s="110"/>
      <c r="C77" s="341" t="s">
        <v>331</v>
      </c>
      <c r="D77" s="342"/>
      <c r="E77" s="342"/>
      <c r="F77" s="342"/>
      <c r="G77" s="342"/>
      <c r="H77" s="342"/>
      <c r="I77" s="342"/>
      <c r="J77" s="342"/>
      <c r="K77" s="342"/>
      <c r="L77" s="342"/>
      <c r="M77" s="342"/>
      <c r="N77" s="342"/>
      <c r="O77" s="342"/>
      <c r="P77" s="342"/>
      <c r="Q77" s="342"/>
      <c r="R77" s="342"/>
      <c r="S77" s="342"/>
      <c r="T77" s="342"/>
      <c r="U77" s="342"/>
      <c r="V77" s="342"/>
      <c r="W77" s="342"/>
      <c r="X77" s="342"/>
      <c r="Y77" s="342"/>
      <c r="Z77" s="342"/>
      <c r="AA77" s="342"/>
      <c r="AB77" s="342"/>
      <c r="AC77" s="342"/>
      <c r="AD77" s="342"/>
      <c r="AE77" s="343"/>
      <c r="AF77" s="115"/>
      <c r="AG77" s="115"/>
      <c r="AH77" s="116"/>
      <c r="AI77" s="116"/>
      <c r="AJ77" s="116"/>
      <c r="AK77" s="115"/>
    </row>
    <row r="78" spans="1:37" s="108" customFormat="1" ht="52.5" customHeight="1" x14ac:dyDescent="0.25">
      <c r="A78" s="100"/>
      <c r="B78" s="101"/>
      <c r="C78" s="341" t="s">
        <v>332</v>
      </c>
      <c r="D78" s="342"/>
      <c r="E78" s="342"/>
      <c r="F78" s="342"/>
      <c r="G78" s="342"/>
      <c r="H78" s="342"/>
      <c r="I78" s="342"/>
      <c r="J78" s="342"/>
      <c r="K78" s="342"/>
      <c r="L78" s="342"/>
      <c r="M78" s="342"/>
      <c r="N78" s="342"/>
      <c r="O78" s="342"/>
      <c r="P78" s="342"/>
      <c r="Q78" s="342"/>
      <c r="R78" s="342"/>
      <c r="S78" s="342"/>
      <c r="T78" s="342"/>
      <c r="U78" s="342"/>
      <c r="V78" s="342"/>
      <c r="W78" s="342"/>
      <c r="X78" s="342"/>
      <c r="Y78" s="342"/>
      <c r="Z78" s="342"/>
      <c r="AA78" s="342"/>
      <c r="AB78" s="342"/>
      <c r="AC78" s="342"/>
      <c r="AD78" s="342"/>
      <c r="AE78" s="343"/>
      <c r="AF78" s="106"/>
      <c r="AG78" s="106"/>
      <c r="AH78" s="107"/>
      <c r="AI78" s="107"/>
      <c r="AJ78" s="107"/>
      <c r="AK78" s="106"/>
    </row>
    <row r="79" spans="1:37" s="108" customFormat="1" ht="52.5" customHeight="1" x14ac:dyDescent="0.25">
      <c r="A79" s="100"/>
      <c r="B79" s="239"/>
      <c r="C79" s="272"/>
      <c r="D79" s="272"/>
      <c r="E79" s="272"/>
      <c r="F79" s="272"/>
      <c r="G79" s="272"/>
      <c r="H79" s="272"/>
      <c r="I79" s="272"/>
      <c r="J79" s="272"/>
      <c r="K79" s="272"/>
      <c r="L79" s="272"/>
      <c r="M79" s="272"/>
      <c r="N79" s="272"/>
      <c r="O79" s="272"/>
      <c r="P79" s="272"/>
      <c r="Q79" s="272"/>
      <c r="R79" s="272"/>
      <c r="S79" s="272"/>
      <c r="T79" s="272"/>
      <c r="U79" s="272"/>
      <c r="V79" s="272"/>
      <c r="W79" s="272"/>
      <c r="X79" s="272"/>
      <c r="Y79" s="272"/>
      <c r="Z79" s="272"/>
      <c r="AA79" s="272"/>
      <c r="AB79" s="272"/>
      <c r="AC79" s="272"/>
      <c r="AD79" s="272"/>
      <c r="AE79" s="272"/>
      <c r="AF79" s="106"/>
      <c r="AG79" s="106"/>
      <c r="AH79" s="107"/>
      <c r="AI79" s="107"/>
      <c r="AJ79" s="107"/>
      <c r="AK79" s="106"/>
    </row>
    <row r="80" spans="1:37" s="108" customFormat="1" ht="25.5" customHeight="1" x14ac:dyDescent="0.25">
      <c r="A80" s="100"/>
      <c r="B80" s="239"/>
      <c r="C80" s="273"/>
      <c r="D80" s="273"/>
      <c r="E80" s="274"/>
      <c r="F80" s="147"/>
      <c r="G80" s="19"/>
      <c r="H80" s="19"/>
      <c r="I80" s="150"/>
      <c r="J80" s="150"/>
      <c r="K80" s="150"/>
      <c r="L80" s="150"/>
      <c r="M80" s="151"/>
      <c r="N80" s="151"/>
      <c r="O80" s="151"/>
      <c r="P80" s="151"/>
      <c r="Q80" s="151"/>
      <c r="R80" s="151"/>
      <c r="S80" s="151"/>
      <c r="T80" s="151"/>
      <c r="U80" s="151"/>
      <c r="V80" s="151"/>
      <c r="W80" s="275"/>
      <c r="X80" s="276"/>
      <c r="Y80" s="344" t="s">
        <v>333</v>
      </c>
      <c r="Z80" s="344"/>
      <c r="AA80" s="344"/>
      <c r="AB80" s="344"/>
      <c r="AC80" s="344"/>
      <c r="AD80" s="277"/>
      <c r="AE80" s="105"/>
      <c r="AF80" s="106"/>
      <c r="AG80" s="106"/>
      <c r="AH80" s="107"/>
      <c r="AI80" s="107"/>
      <c r="AJ80" s="107"/>
      <c r="AK80" s="106"/>
    </row>
    <row r="81" spans="1:36" ht="18.75" customHeight="1" x14ac:dyDescent="0.25">
      <c r="A81" s="75"/>
      <c r="B81" s="223"/>
      <c r="C81" s="278"/>
      <c r="D81" s="278"/>
      <c r="E81" s="279"/>
      <c r="X81" s="276"/>
      <c r="Y81" s="335" t="s">
        <v>334</v>
      </c>
      <c r="Z81" s="335"/>
      <c r="AA81" s="335"/>
      <c r="AB81" s="335"/>
      <c r="AC81" s="335"/>
      <c r="AD81" s="280"/>
      <c r="AE81" s="38"/>
    </row>
    <row r="82" spans="1:36" ht="30" customHeight="1" x14ac:dyDescent="0.25">
      <c r="A82" s="75"/>
      <c r="B82" s="223"/>
      <c r="C82" s="278"/>
      <c r="D82" s="278"/>
      <c r="E82" s="279"/>
      <c r="AE82" s="38"/>
    </row>
    <row r="83" spans="1:36" ht="30" customHeight="1" x14ac:dyDescent="0.25">
      <c r="A83" s="75"/>
      <c r="B83" s="223"/>
      <c r="C83" s="278"/>
      <c r="D83" s="278"/>
      <c r="E83" s="279"/>
      <c r="AA83" s="335"/>
      <c r="AB83" s="335"/>
      <c r="AC83" s="335"/>
      <c r="AE83" s="38"/>
    </row>
    <row r="84" spans="1:36" x14ac:dyDescent="0.25">
      <c r="A84" s="129"/>
      <c r="B84" s="281"/>
      <c r="C84" s="278"/>
      <c r="D84" s="278"/>
      <c r="E84" s="279"/>
      <c r="Z84" s="335" t="s">
        <v>335</v>
      </c>
      <c r="AA84" s="335"/>
      <c r="AB84" s="335"/>
      <c r="AD84" s="280"/>
      <c r="AE84" s="31"/>
    </row>
    <row r="85" spans="1:36" s="19" customFormat="1" ht="33" customHeight="1" thickBot="1" x14ac:dyDescent="0.3">
      <c r="A85" s="136"/>
      <c r="B85" s="282"/>
      <c r="C85" s="278"/>
      <c r="D85" s="279"/>
      <c r="E85" s="279"/>
      <c r="F85" s="147"/>
      <c r="I85" s="150"/>
      <c r="J85" s="150"/>
      <c r="K85" s="150"/>
      <c r="L85" s="150"/>
      <c r="M85" s="151"/>
      <c r="N85" s="151"/>
      <c r="O85" s="151"/>
      <c r="P85" s="151"/>
      <c r="Q85" s="151"/>
      <c r="R85" s="151"/>
      <c r="S85" s="151"/>
      <c r="T85" s="151"/>
      <c r="U85" s="151"/>
      <c r="V85" s="151"/>
      <c r="W85" s="151"/>
      <c r="X85" s="276"/>
      <c r="Y85" s="153"/>
      <c r="Z85" s="335" t="s">
        <v>336</v>
      </c>
      <c r="AA85" s="335"/>
      <c r="AB85" s="335"/>
      <c r="AC85" s="151"/>
      <c r="AD85" s="280"/>
      <c r="AE85" s="142"/>
      <c r="AH85" s="20"/>
      <c r="AI85" s="20"/>
      <c r="AJ85" s="20"/>
    </row>
    <row r="86" spans="1:36" s="19" customFormat="1" ht="21" customHeight="1" x14ac:dyDescent="0.25">
      <c r="E86" s="147"/>
      <c r="F86" s="147"/>
      <c r="I86" s="150"/>
      <c r="J86" s="150"/>
      <c r="K86" s="150"/>
      <c r="L86" s="150"/>
      <c r="M86" s="151"/>
      <c r="N86" s="151"/>
      <c r="O86" s="151"/>
      <c r="P86" s="151"/>
      <c r="Q86" s="151"/>
      <c r="R86" s="151"/>
      <c r="S86" s="151"/>
      <c r="T86" s="151"/>
      <c r="U86" s="151"/>
      <c r="V86" s="151"/>
      <c r="W86" s="151"/>
      <c r="X86" s="151"/>
      <c r="Y86" s="151"/>
      <c r="Z86" s="335" t="s">
        <v>337</v>
      </c>
      <c r="AA86" s="335"/>
      <c r="AB86" s="335"/>
      <c r="AC86" s="151"/>
      <c r="AD86" s="150"/>
      <c r="AE86" s="22"/>
      <c r="AH86" s="20"/>
      <c r="AI86" s="20"/>
      <c r="AJ86" s="20"/>
    </row>
    <row r="87" spans="1:36" s="19" customFormat="1" ht="24" customHeight="1" x14ac:dyDescent="0.25">
      <c r="A87" s="143" t="s">
        <v>281</v>
      </c>
      <c r="B87" s="143" t="s">
        <v>282</v>
      </c>
      <c r="C87" s="273"/>
      <c r="D87" s="273"/>
      <c r="E87" s="147"/>
      <c r="F87" s="147"/>
      <c r="I87" s="150"/>
      <c r="J87" s="150"/>
      <c r="K87" s="150"/>
      <c r="L87" s="150"/>
      <c r="M87" s="151"/>
      <c r="N87" s="151"/>
      <c r="O87" s="151"/>
      <c r="P87" s="151"/>
      <c r="Q87" s="151"/>
      <c r="R87" s="151"/>
      <c r="S87" s="151"/>
      <c r="T87" s="151"/>
      <c r="U87" s="151"/>
      <c r="V87" s="151"/>
      <c r="W87" s="151"/>
      <c r="X87" s="151"/>
      <c r="Y87" s="151"/>
      <c r="Z87" s="151"/>
      <c r="AA87" s="151"/>
      <c r="AB87" s="151"/>
      <c r="AC87" s="151"/>
      <c r="AD87" s="152"/>
      <c r="AE87" s="22"/>
      <c r="AH87" s="20"/>
      <c r="AI87" s="20"/>
      <c r="AJ87" s="20"/>
    </row>
    <row r="88" spans="1:36" s="19" customFormat="1" ht="22.5" customHeight="1" x14ac:dyDescent="0.25">
      <c r="A88" s="146" t="s">
        <v>286</v>
      </c>
      <c r="B88" s="146" t="s">
        <v>287</v>
      </c>
      <c r="C88" s="278"/>
      <c r="D88" s="278"/>
      <c r="E88" s="147"/>
      <c r="F88" s="147"/>
      <c r="I88" s="150"/>
      <c r="J88" s="150"/>
      <c r="K88" s="150"/>
      <c r="L88" s="150"/>
      <c r="M88" s="151"/>
      <c r="N88" s="151"/>
      <c r="O88" s="151"/>
      <c r="P88" s="151"/>
      <c r="Q88" s="151"/>
      <c r="R88" s="151"/>
      <c r="S88" s="151"/>
      <c r="T88" s="151"/>
      <c r="U88" s="151"/>
      <c r="V88" s="151"/>
      <c r="W88" s="151"/>
      <c r="X88" s="151"/>
      <c r="Y88" s="151"/>
      <c r="Z88" s="151"/>
      <c r="AA88" s="151"/>
      <c r="AB88" s="151"/>
      <c r="AC88" s="151"/>
      <c r="AD88" s="152"/>
      <c r="AE88" s="22"/>
      <c r="AH88" s="20"/>
      <c r="AI88" s="20"/>
      <c r="AJ88" s="20"/>
    </row>
    <row r="89" spans="1:36" s="19" customFormat="1" ht="24.75" customHeight="1" x14ac:dyDescent="0.25">
      <c r="A89" s="146" t="s">
        <v>290</v>
      </c>
      <c r="B89" s="146" t="s">
        <v>291</v>
      </c>
      <c r="C89" s="278"/>
      <c r="D89" s="278"/>
      <c r="E89" s="147"/>
      <c r="F89" s="147"/>
      <c r="I89" s="150"/>
      <c r="J89" s="150"/>
      <c r="K89" s="150"/>
      <c r="L89" s="150"/>
      <c r="M89" s="151"/>
      <c r="N89" s="151"/>
      <c r="O89" s="151"/>
      <c r="P89" s="151"/>
      <c r="Q89" s="151"/>
      <c r="R89" s="151"/>
      <c r="S89" s="151"/>
      <c r="T89" s="151"/>
      <c r="U89" s="151"/>
      <c r="V89" s="151"/>
      <c r="W89" s="151"/>
      <c r="X89" s="151"/>
      <c r="Y89" s="151"/>
      <c r="Z89" s="151"/>
      <c r="AA89" s="151"/>
      <c r="AB89" s="151"/>
      <c r="AC89" s="151"/>
      <c r="AD89" s="152"/>
      <c r="AE89" s="22"/>
      <c r="AH89" s="20"/>
      <c r="AI89" s="20"/>
      <c r="AJ89" s="20"/>
    </row>
    <row r="90" spans="1:36" s="19" customFormat="1" ht="24.75" customHeight="1" x14ac:dyDescent="0.25">
      <c r="A90" s="146" t="s">
        <v>293</v>
      </c>
      <c r="B90" s="146" t="s">
        <v>294</v>
      </c>
      <c r="C90" s="278"/>
      <c r="D90" s="278"/>
      <c r="E90" s="147"/>
      <c r="F90" s="147"/>
      <c r="I90" s="150"/>
      <c r="J90" s="150"/>
      <c r="K90" s="150"/>
      <c r="L90" s="150"/>
      <c r="M90" s="151"/>
      <c r="N90" s="151"/>
      <c r="O90" s="151"/>
      <c r="P90" s="151"/>
      <c r="Q90" s="151"/>
      <c r="R90" s="151"/>
      <c r="S90" s="151"/>
      <c r="T90" s="151"/>
      <c r="U90" s="151"/>
      <c r="V90" s="151"/>
      <c r="W90" s="151"/>
      <c r="X90" s="151"/>
      <c r="Y90" s="151"/>
      <c r="Z90" s="151"/>
      <c r="AA90" s="151"/>
      <c r="AB90" s="151"/>
      <c r="AC90" s="151"/>
      <c r="AD90" s="152"/>
      <c r="AE90" s="22"/>
      <c r="AH90" s="20"/>
      <c r="AI90" s="20"/>
      <c r="AJ90" s="20"/>
    </row>
    <row r="91" spans="1:36" s="19" customFormat="1" ht="22.5" customHeight="1" x14ac:dyDescent="0.25">
      <c r="A91" s="146" t="s">
        <v>296</v>
      </c>
      <c r="B91" s="146" t="s">
        <v>297</v>
      </c>
      <c r="C91" s="278"/>
      <c r="D91" s="278"/>
      <c r="E91" s="147"/>
      <c r="F91" s="147"/>
      <c r="I91" s="150"/>
      <c r="J91" s="150"/>
      <c r="K91" s="150"/>
      <c r="L91" s="150"/>
      <c r="M91" s="151"/>
      <c r="N91" s="151"/>
      <c r="O91" s="151"/>
      <c r="P91" s="151"/>
      <c r="Q91" s="151"/>
      <c r="R91" s="151"/>
      <c r="S91" s="151"/>
      <c r="T91" s="151"/>
      <c r="U91" s="151"/>
      <c r="V91" s="151"/>
      <c r="W91" s="151"/>
      <c r="X91" s="151"/>
      <c r="Y91" s="151"/>
      <c r="Z91" s="151"/>
      <c r="AA91" s="151"/>
      <c r="AB91" s="151"/>
      <c r="AC91" s="151"/>
      <c r="AD91" s="152"/>
      <c r="AE91" s="22"/>
      <c r="AH91" s="20"/>
      <c r="AI91" s="20"/>
      <c r="AJ91" s="20"/>
    </row>
    <row r="92" spans="1:36" s="19" customFormat="1" ht="23.25" customHeight="1" x14ac:dyDescent="0.25">
      <c r="A92" s="146" t="s">
        <v>300</v>
      </c>
      <c r="B92" s="148" t="s">
        <v>301</v>
      </c>
      <c r="C92" s="279"/>
      <c r="D92" s="279"/>
      <c r="E92" s="147"/>
      <c r="F92" s="147"/>
      <c r="I92" s="150"/>
      <c r="J92" s="150"/>
      <c r="K92" s="150"/>
      <c r="L92" s="150"/>
      <c r="M92" s="151"/>
      <c r="N92" s="151"/>
      <c r="O92" s="151"/>
      <c r="P92" s="151"/>
      <c r="Q92" s="151"/>
      <c r="R92" s="151"/>
      <c r="S92" s="151"/>
      <c r="T92" s="151"/>
      <c r="U92" s="151"/>
      <c r="V92" s="151"/>
      <c r="W92" s="151"/>
      <c r="X92" s="151"/>
      <c r="Y92" s="151"/>
      <c r="Z92" s="151"/>
      <c r="AA92" s="151"/>
      <c r="AB92" s="151"/>
      <c r="AC92" s="151"/>
      <c r="AD92" s="152"/>
      <c r="AE92" s="22"/>
      <c r="AH92" s="20"/>
      <c r="AI92" s="20"/>
      <c r="AJ92" s="20"/>
    </row>
    <row r="93" spans="1:36" s="19" customFormat="1" ht="15" customHeight="1" x14ac:dyDescent="0.25">
      <c r="E93" s="147"/>
      <c r="F93" s="147"/>
      <c r="I93" s="150"/>
      <c r="J93" s="150"/>
      <c r="K93" s="150"/>
      <c r="L93" s="150"/>
      <c r="M93" s="151"/>
      <c r="N93" s="151"/>
      <c r="O93" s="151"/>
      <c r="P93" s="151"/>
      <c r="Q93" s="151"/>
      <c r="R93" s="151"/>
      <c r="S93" s="151"/>
      <c r="T93" s="151"/>
      <c r="U93" s="151"/>
      <c r="V93" s="151"/>
      <c r="W93" s="151"/>
      <c r="X93" s="151"/>
      <c r="Y93" s="151"/>
      <c r="Z93" s="151"/>
      <c r="AA93" s="151"/>
      <c r="AB93" s="151"/>
      <c r="AC93" s="151"/>
      <c r="AD93" s="152"/>
      <c r="AE93" s="22"/>
      <c r="AH93" s="20"/>
      <c r="AI93" s="20"/>
      <c r="AJ93" s="20"/>
    </row>
  </sheetData>
  <mergeCells count="54">
    <mergeCell ref="Z86:AB86"/>
    <mergeCell ref="K74:L74"/>
    <mergeCell ref="N74:W74"/>
    <mergeCell ref="C75:AE75"/>
    <mergeCell ref="C76:AE76"/>
    <mergeCell ref="C77:AE77"/>
    <mergeCell ref="C78:AE78"/>
    <mergeCell ref="Y80:AC80"/>
    <mergeCell ref="Y81:AC81"/>
    <mergeCell ref="AA83:AC83"/>
    <mergeCell ref="Z84:AB84"/>
    <mergeCell ref="Z85:AB85"/>
    <mergeCell ref="K71:L71"/>
    <mergeCell ref="N71:W71"/>
    <mergeCell ref="K72:L72"/>
    <mergeCell ref="N72:W72"/>
    <mergeCell ref="K73:L73"/>
    <mergeCell ref="N73:V73"/>
    <mergeCell ref="Z12:AA12"/>
    <mergeCell ref="AB12:AC12"/>
    <mergeCell ref="A13:A14"/>
    <mergeCell ref="B13:B14"/>
    <mergeCell ref="G13:H13"/>
    <mergeCell ref="I13:J13"/>
    <mergeCell ref="K13:M13"/>
    <mergeCell ref="N13:O13"/>
    <mergeCell ref="P13:Q13"/>
    <mergeCell ref="R13:S13"/>
    <mergeCell ref="T13:U13"/>
    <mergeCell ref="V13:W13"/>
    <mergeCell ref="X13:Y13"/>
    <mergeCell ref="Z13:AA13"/>
    <mergeCell ref="AB13:AC13"/>
    <mergeCell ref="R12:S12"/>
    <mergeCell ref="T12:U12"/>
    <mergeCell ref="V12:W12"/>
    <mergeCell ref="X12:Y12"/>
    <mergeCell ref="K14:L14"/>
    <mergeCell ref="G12:H12"/>
    <mergeCell ref="I12:J12"/>
    <mergeCell ref="K12:M12"/>
    <mergeCell ref="N12:O12"/>
    <mergeCell ref="P12:Q12"/>
    <mergeCell ref="A1:AE1"/>
    <mergeCell ref="A2:AE2"/>
    <mergeCell ref="A3:AE3"/>
    <mergeCell ref="G11:H11"/>
    <mergeCell ref="I11:J11"/>
    <mergeCell ref="K11:M11"/>
    <mergeCell ref="N11:U11"/>
    <mergeCell ref="V11:W11"/>
    <mergeCell ref="X11:Y11"/>
    <mergeCell ref="Z11:AA11"/>
    <mergeCell ref="AB11:AC11"/>
  </mergeCells>
  <pageMargins left="0.25" right="0.25" top="0.75" bottom="0.75" header="0.3" footer="0.3"/>
  <pageSetup paperSize="5" scale="40" orientation="landscape" horizontalDpi="4294967293" r:id="rId1"/>
  <rowBreaks count="3" manualBreakCount="3">
    <brk id="22" max="30" man="1"/>
    <brk id="39" max="30" man="1"/>
    <brk id="61"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2"/>
  <sheetViews>
    <sheetView tabSelected="1" topLeftCell="C7" zoomScale="60" zoomScaleNormal="60" workbookViewId="0">
      <selection activeCell="AB20" sqref="AB20"/>
    </sheetView>
  </sheetViews>
  <sheetFormatPr defaultColWidth="9" defaultRowHeight="16.5" x14ac:dyDescent="0.3"/>
  <cols>
    <col min="1" max="1" width="5.42578125" style="346" customWidth="1"/>
    <col min="2" max="2" width="17.85546875" style="346" customWidth="1"/>
    <col min="3" max="3" width="17.7109375" style="346" customWidth="1"/>
    <col min="4" max="4" width="14.85546875" style="346" customWidth="1"/>
    <col min="5" max="8" width="9.28515625" style="346" customWidth="1"/>
    <col min="9" max="9" width="9.28515625" style="346" bestFit="1" customWidth="1"/>
    <col min="10" max="10" width="15.28515625" style="346" customWidth="1"/>
    <col min="11" max="11" width="9.28515625" style="346" bestFit="1" customWidth="1"/>
    <col min="12" max="12" width="14.42578125" style="346" customWidth="1"/>
    <col min="13" max="13" width="9.28515625" style="346" bestFit="1" customWidth="1"/>
    <col min="14" max="14" width="13.85546875" style="346" customWidth="1"/>
    <col min="15" max="15" width="9.28515625" style="346" bestFit="1" customWidth="1"/>
    <col min="16" max="16" width="14.28515625" style="346" customWidth="1"/>
    <col min="17" max="17" width="9.28515625" style="346" bestFit="1" customWidth="1"/>
    <col min="18" max="18" width="13.42578125" style="346" customWidth="1"/>
    <col min="19" max="19" width="9.28515625" style="346" bestFit="1" customWidth="1"/>
    <col min="20" max="20" width="16.85546875" style="346" customWidth="1"/>
    <col min="21" max="21" width="14" style="346" customWidth="1"/>
    <col min="22" max="22" width="10.42578125" style="346" customWidth="1"/>
    <col min="23" max="23" width="9.28515625" style="346" bestFit="1" customWidth="1"/>
    <col min="24" max="24" width="16.7109375" style="346" customWidth="1"/>
    <col min="25" max="26" width="9.140625" style="346" customWidth="1"/>
    <col min="27" max="27" width="43" style="351" customWidth="1"/>
    <col min="28" max="28" width="73" style="351" customWidth="1"/>
    <col min="29" max="30" width="9" style="346"/>
    <col min="31" max="33" width="9" style="347"/>
    <col min="34" max="34" width="9" style="346"/>
    <col min="35" max="16384" width="9" style="501"/>
  </cols>
  <sheetData>
    <row r="1" spans="1:33" s="346" customFormat="1" x14ac:dyDescent="0.3">
      <c r="A1" s="345" t="s">
        <v>338</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E1" s="347"/>
      <c r="AF1" s="347"/>
      <c r="AG1" s="347"/>
    </row>
    <row r="2" spans="1:33" s="346" customFormat="1" x14ac:dyDescent="0.3">
      <c r="A2" s="348" t="s">
        <v>339</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E2" s="347"/>
      <c r="AF2" s="347"/>
      <c r="AG2" s="347"/>
    </row>
    <row r="3" spans="1:33" s="346" customFormat="1" x14ac:dyDescent="0.3">
      <c r="A3" s="345" t="s">
        <v>340</v>
      </c>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E3" s="347"/>
      <c r="AF3" s="347"/>
      <c r="AG3" s="347"/>
    </row>
    <row r="4" spans="1:33" s="346" customFormat="1" x14ac:dyDescent="0.3">
      <c r="A4" s="349"/>
      <c r="B4" s="349"/>
      <c r="C4" s="349"/>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E4" s="347"/>
      <c r="AF4" s="347"/>
      <c r="AG4" s="347"/>
    </row>
    <row r="5" spans="1:33" s="346" customFormat="1" x14ac:dyDescent="0.3">
      <c r="A5" s="350"/>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E5" s="347"/>
      <c r="AF5" s="347"/>
      <c r="AG5" s="347"/>
    </row>
    <row r="6" spans="1:33" s="346" customFormat="1" ht="14.65" customHeight="1" thickBot="1" x14ac:dyDescent="0.35">
      <c r="AA6" s="351"/>
      <c r="AB6" s="351"/>
      <c r="AE6" s="347"/>
      <c r="AF6" s="347"/>
      <c r="AG6" s="347"/>
    </row>
    <row r="7" spans="1:33" s="346" customFormat="1" ht="55.9" customHeight="1" x14ac:dyDescent="0.3">
      <c r="A7" s="352" t="s">
        <v>131</v>
      </c>
      <c r="B7" s="353" t="s">
        <v>341</v>
      </c>
      <c r="C7" s="353" t="s">
        <v>133</v>
      </c>
      <c r="D7" s="353" t="s">
        <v>134</v>
      </c>
      <c r="E7" s="354" t="s">
        <v>342</v>
      </c>
      <c r="F7" s="354"/>
      <c r="G7" s="354" t="s">
        <v>343</v>
      </c>
      <c r="H7" s="354"/>
      <c r="I7" s="354" t="s">
        <v>344</v>
      </c>
      <c r="J7" s="354"/>
      <c r="K7" s="354" t="s">
        <v>345</v>
      </c>
      <c r="L7" s="354"/>
      <c r="M7" s="354"/>
      <c r="N7" s="354"/>
      <c r="O7" s="354"/>
      <c r="P7" s="354"/>
      <c r="Q7" s="354"/>
      <c r="R7" s="354"/>
      <c r="S7" s="354" t="s">
        <v>346</v>
      </c>
      <c r="T7" s="354"/>
      <c r="U7" s="354" t="s">
        <v>347</v>
      </c>
      <c r="V7" s="354"/>
      <c r="W7" s="354" t="s">
        <v>348</v>
      </c>
      <c r="X7" s="354"/>
      <c r="Y7" s="354" t="s">
        <v>349</v>
      </c>
      <c r="Z7" s="355"/>
      <c r="AA7" s="356" t="s">
        <v>143</v>
      </c>
      <c r="AB7" s="357" t="s">
        <v>144</v>
      </c>
      <c r="AE7" s="347"/>
      <c r="AF7" s="347"/>
      <c r="AG7" s="347"/>
    </row>
    <row r="8" spans="1:33" s="346" customFormat="1" x14ac:dyDescent="0.3">
      <c r="A8" s="358"/>
      <c r="B8" s="359"/>
      <c r="C8" s="360"/>
      <c r="D8" s="360"/>
      <c r="E8" s="361"/>
      <c r="F8" s="361"/>
      <c r="G8" s="362"/>
      <c r="H8" s="363"/>
      <c r="I8" s="364"/>
      <c r="J8" s="364"/>
      <c r="K8" s="361" t="s">
        <v>145</v>
      </c>
      <c r="L8" s="361"/>
      <c r="M8" s="365" t="s">
        <v>146</v>
      </c>
      <c r="N8" s="365"/>
      <c r="O8" s="365" t="s">
        <v>147</v>
      </c>
      <c r="P8" s="365"/>
      <c r="Q8" s="365" t="s">
        <v>148</v>
      </c>
      <c r="R8" s="365"/>
      <c r="S8" s="362"/>
      <c r="T8" s="363"/>
      <c r="U8" s="361"/>
      <c r="V8" s="361"/>
      <c r="W8" s="364"/>
      <c r="X8" s="364"/>
      <c r="Y8" s="364"/>
      <c r="Z8" s="366"/>
      <c r="AA8" s="367"/>
      <c r="AB8" s="368"/>
      <c r="AE8" s="347"/>
      <c r="AF8" s="347"/>
      <c r="AG8" s="347"/>
    </row>
    <row r="9" spans="1:33" s="346" customFormat="1" ht="15" customHeight="1" x14ac:dyDescent="0.3">
      <c r="A9" s="369">
        <v>1</v>
      </c>
      <c r="B9" s="370">
        <v>2</v>
      </c>
      <c r="C9" s="370">
        <v>3</v>
      </c>
      <c r="D9" s="370">
        <v>4</v>
      </c>
      <c r="E9" s="361">
        <v>5</v>
      </c>
      <c r="F9" s="361"/>
      <c r="G9" s="371">
        <v>6</v>
      </c>
      <c r="H9" s="371"/>
      <c r="I9" s="362">
        <v>7</v>
      </c>
      <c r="J9" s="363"/>
      <c r="K9" s="361">
        <v>8</v>
      </c>
      <c r="L9" s="361"/>
      <c r="M9" s="365">
        <v>9</v>
      </c>
      <c r="N9" s="365"/>
      <c r="O9" s="365">
        <v>10</v>
      </c>
      <c r="P9" s="365"/>
      <c r="Q9" s="365">
        <v>11</v>
      </c>
      <c r="R9" s="365"/>
      <c r="S9" s="371">
        <v>12</v>
      </c>
      <c r="T9" s="371"/>
      <c r="U9" s="371" t="s">
        <v>149</v>
      </c>
      <c r="V9" s="371"/>
      <c r="W9" s="361" t="s">
        <v>150</v>
      </c>
      <c r="X9" s="361"/>
      <c r="Y9" s="361" t="s">
        <v>151</v>
      </c>
      <c r="Z9" s="362"/>
      <c r="AA9" s="372">
        <v>16</v>
      </c>
      <c r="AB9" s="373">
        <v>17</v>
      </c>
      <c r="AE9" s="347"/>
      <c r="AF9" s="347"/>
      <c r="AG9" s="347"/>
    </row>
    <row r="10" spans="1:33" s="346" customFormat="1" x14ac:dyDescent="0.3">
      <c r="A10" s="369"/>
      <c r="B10" s="370"/>
      <c r="C10" s="370"/>
      <c r="D10" s="370"/>
      <c r="E10" s="374" t="s">
        <v>152</v>
      </c>
      <c r="F10" s="374" t="s">
        <v>153</v>
      </c>
      <c r="G10" s="374" t="s">
        <v>152</v>
      </c>
      <c r="H10" s="374" t="s">
        <v>153</v>
      </c>
      <c r="I10" s="374" t="s">
        <v>152</v>
      </c>
      <c r="J10" s="374" t="s">
        <v>153</v>
      </c>
      <c r="K10" s="374" t="s">
        <v>152</v>
      </c>
      <c r="L10" s="374" t="s">
        <v>153</v>
      </c>
      <c r="M10" s="375" t="s">
        <v>152</v>
      </c>
      <c r="N10" s="375" t="s">
        <v>153</v>
      </c>
      <c r="O10" s="375" t="s">
        <v>152</v>
      </c>
      <c r="P10" s="375" t="s">
        <v>153</v>
      </c>
      <c r="Q10" s="375" t="s">
        <v>152</v>
      </c>
      <c r="R10" s="375" t="s">
        <v>153</v>
      </c>
      <c r="S10" s="374" t="s">
        <v>152</v>
      </c>
      <c r="T10" s="374" t="s">
        <v>153</v>
      </c>
      <c r="U10" s="374" t="s">
        <v>152</v>
      </c>
      <c r="V10" s="374" t="s">
        <v>153</v>
      </c>
      <c r="W10" s="374" t="s">
        <v>152</v>
      </c>
      <c r="X10" s="374" t="s">
        <v>153</v>
      </c>
      <c r="Y10" s="374" t="s">
        <v>152</v>
      </c>
      <c r="Z10" s="376" t="s">
        <v>153</v>
      </c>
      <c r="AA10" s="377"/>
      <c r="AB10" s="378"/>
      <c r="AE10" s="347"/>
      <c r="AF10" s="347"/>
      <c r="AG10" s="347"/>
    </row>
    <row r="11" spans="1:33" s="346" customFormat="1" x14ac:dyDescent="0.3">
      <c r="A11" s="379"/>
      <c r="B11" s="380"/>
      <c r="C11" s="381" t="s">
        <v>350</v>
      </c>
      <c r="D11" s="382"/>
      <c r="E11" s="383"/>
      <c r="F11" s="384"/>
      <c r="G11" s="383"/>
      <c r="H11" s="384"/>
      <c r="I11" s="385"/>
      <c r="J11" s="384"/>
      <c r="K11" s="386"/>
      <c r="L11" s="386"/>
      <c r="M11" s="386"/>
      <c r="N11" s="386"/>
      <c r="O11" s="386"/>
      <c r="P11" s="386"/>
      <c r="Q11" s="386"/>
      <c r="R11" s="386"/>
      <c r="S11" s="384"/>
      <c r="T11" s="384"/>
      <c r="U11" s="387"/>
      <c r="V11" s="387"/>
      <c r="W11" s="383"/>
      <c r="X11" s="384"/>
      <c r="Y11" s="388"/>
      <c r="Z11" s="389"/>
      <c r="AA11" s="377"/>
      <c r="AB11" s="378"/>
      <c r="AE11" s="347"/>
      <c r="AF11" s="347"/>
      <c r="AG11" s="347"/>
    </row>
    <row r="12" spans="1:33" s="346" customFormat="1" ht="63.75" x14ac:dyDescent="0.3">
      <c r="A12" s="390"/>
      <c r="B12" s="391"/>
      <c r="C12" s="392" t="s">
        <v>154</v>
      </c>
      <c r="D12" s="393"/>
      <c r="E12" s="394"/>
      <c r="F12" s="395">
        <f>0+F13+F20+F24+F26+F29+F39+F42</f>
        <v>0</v>
      </c>
      <c r="G12" s="394"/>
      <c r="H12" s="395"/>
      <c r="I12" s="396"/>
      <c r="J12" s="397">
        <f>J13+J20+J24+J26+J29+J39+J42+J47+J55+J58+J64+J67+J35</f>
        <v>17513953600</v>
      </c>
      <c r="K12" s="398"/>
      <c r="L12" s="399">
        <f>0+L13+L20+L24+L26+L29+L39+L42+L47+L55+L58+L64+L67</f>
        <v>2120054002</v>
      </c>
      <c r="M12" s="398"/>
      <c r="N12" s="398"/>
      <c r="O12" s="398"/>
      <c r="P12" s="398"/>
      <c r="Q12" s="398"/>
      <c r="R12" s="398"/>
      <c r="S12" s="397"/>
      <c r="T12" s="397">
        <f>0+T13+T20+T24+T26+T29+T39+T42+T55+T58+T64+T67+T47+T35</f>
        <v>12678255601</v>
      </c>
      <c r="U12" s="400"/>
      <c r="V12" s="400">
        <f>IFERROR(T12/J12,0)</f>
        <v>0.7238945523413971</v>
      </c>
      <c r="W12" s="401"/>
      <c r="X12" s="397">
        <f>0+X13+X20+X24+X26+X29+X39+X42+X47+X55+X58+X64+X67+X35</f>
        <v>12731451576</v>
      </c>
      <c r="Y12" s="402"/>
      <c r="Z12" s="403">
        <f>IFERROR(X12/F12,0)</f>
        <v>0</v>
      </c>
      <c r="AA12" s="404" t="s">
        <v>351</v>
      </c>
      <c r="AB12" s="378"/>
      <c r="AE12" s="347"/>
      <c r="AF12" s="347"/>
      <c r="AG12" s="347"/>
    </row>
    <row r="13" spans="1:33" s="346" customFormat="1" ht="54.6" customHeight="1" x14ac:dyDescent="0.3">
      <c r="A13" s="405"/>
      <c r="B13" s="406"/>
      <c r="C13" s="407" t="s">
        <v>156</v>
      </c>
      <c r="D13" s="408"/>
      <c r="E13" s="409"/>
      <c r="F13" s="410">
        <f>0+F14</f>
        <v>0</v>
      </c>
      <c r="G13" s="409"/>
      <c r="H13" s="410">
        <f>0+H14</f>
        <v>0</v>
      </c>
      <c r="I13" s="411"/>
      <c r="J13" s="412">
        <f>J14+J15+J16+J17+J18+J19</f>
        <v>78137408</v>
      </c>
      <c r="K13" s="413"/>
      <c r="L13" s="414">
        <f>0+L14+L15+L16+L17+L18+L19</f>
        <v>5059000</v>
      </c>
      <c r="M13" s="413"/>
      <c r="N13" s="414">
        <f>0+N14+N15+N16+N17+N18+N19</f>
        <v>21150000</v>
      </c>
      <c r="O13" s="413"/>
      <c r="P13" s="414">
        <f>0+P14+P15+P16+P17+P18+P19</f>
        <v>5626500</v>
      </c>
      <c r="Q13" s="413"/>
      <c r="R13" s="414">
        <f>0+R14+R15+R16+R17+R18+R19</f>
        <v>10267000</v>
      </c>
      <c r="S13" s="412"/>
      <c r="T13" s="412">
        <f>0+T14+T15+T16+T17+T18+T19</f>
        <v>42102500</v>
      </c>
      <c r="U13" s="415">
        <f>SUM(U14:U19)</f>
        <v>3</v>
      </c>
      <c r="V13" s="416">
        <f t="shared" ref="V13:V69" si="0">IFERROR(T13/J13,0)</f>
        <v>0.53882642229442779</v>
      </c>
      <c r="W13" s="417"/>
      <c r="X13" s="412">
        <f>0+X14+X15+X16+X17+X18+X19</f>
        <v>42102500</v>
      </c>
      <c r="Y13" s="418"/>
      <c r="Z13" s="419">
        <f>0+Z14</f>
        <v>0</v>
      </c>
      <c r="AA13" s="420"/>
      <c r="AB13" s="378"/>
      <c r="AE13" s="347"/>
      <c r="AF13" s="347"/>
      <c r="AG13" s="347"/>
    </row>
    <row r="14" spans="1:33" s="346" customFormat="1" ht="42.95" customHeight="1" x14ac:dyDescent="0.3">
      <c r="A14" s="379"/>
      <c r="B14" s="380"/>
      <c r="C14" s="421" t="s">
        <v>158</v>
      </c>
      <c r="D14" s="422" t="s">
        <v>159</v>
      </c>
      <c r="E14" s="423">
        <v>0</v>
      </c>
      <c r="F14" s="424">
        <v>0</v>
      </c>
      <c r="G14" s="423">
        <v>0</v>
      </c>
      <c r="H14" s="424">
        <v>0</v>
      </c>
      <c r="I14" s="425">
        <v>1</v>
      </c>
      <c r="J14" s="424">
        <v>4400500</v>
      </c>
      <c r="K14" s="426">
        <v>0</v>
      </c>
      <c r="L14" s="427">
        <v>677000</v>
      </c>
      <c r="M14" s="427">
        <v>0</v>
      </c>
      <c r="N14" s="427">
        <v>560000</v>
      </c>
      <c r="O14" s="427">
        <v>0</v>
      </c>
      <c r="P14" s="427">
        <v>0</v>
      </c>
      <c r="Q14" s="427">
        <v>0</v>
      </c>
      <c r="R14" s="427">
        <v>0</v>
      </c>
      <c r="S14" s="424">
        <f t="shared" ref="S14:T19" si="1">SUM(K14,M14,O14,Q14)</f>
        <v>0</v>
      </c>
      <c r="T14" s="424">
        <f>SUM(L14,N14,P14,R14)</f>
        <v>1237000</v>
      </c>
      <c r="U14" s="428">
        <f>IFERROR(S14/I14,0)</f>
        <v>0</v>
      </c>
      <c r="V14" s="428">
        <f t="shared" si="0"/>
        <v>0.28110441995227814</v>
      </c>
      <c r="W14" s="423">
        <f>S14+G14</f>
        <v>0</v>
      </c>
      <c r="X14" s="424">
        <f>T14+H14</f>
        <v>1237000</v>
      </c>
      <c r="Y14" s="429">
        <f>IFERROR(W14/E14,0)</f>
        <v>0</v>
      </c>
      <c r="Z14" s="430">
        <f>IFERROR(X14/F14,0)</f>
        <v>0</v>
      </c>
      <c r="AA14" s="431"/>
      <c r="AB14" s="378"/>
      <c r="AE14" s="347"/>
      <c r="AF14" s="347"/>
      <c r="AG14" s="347"/>
    </row>
    <row r="15" spans="1:33" s="346" customFormat="1" ht="38.25" x14ac:dyDescent="0.3">
      <c r="A15" s="379"/>
      <c r="B15" s="380"/>
      <c r="C15" s="432" t="s">
        <v>163</v>
      </c>
      <c r="D15" s="433" t="s">
        <v>164</v>
      </c>
      <c r="E15" s="423"/>
      <c r="F15" s="424"/>
      <c r="G15" s="423"/>
      <c r="H15" s="424"/>
      <c r="I15" s="425">
        <v>1</v>
      </c>
      <c r="J15" s="424">
        <v>3953500</v>
      </c>
      <c r="K15" s="426">
        <v>0</v>
      </c>
      <c r="L15" s="434">
        <v>0</v>
      </c>
      <c r="M15" s="427">
        <v>0</v>
      </c>
      <c r="N15" s="427">
        <v>1120000</v>
      </c>
      <c r="O15" s="427">
        <v>0</v>
      </c>
      <c r="P15" s="427">
        <v>1004000</v>
      </c>
      <c r="Q15" s="427">
        <v>0</v>
      </c>
      <c r="R15" s="427">
        <v>0</v>
      </c>
      <c r="S15" s="424">
        <f t="shared" si="1"/>
        <v>0</v>
      </c>
      <c r="T15" s="424">
        <f t="shared" si="1"/>
        <v>2124000</v>
      </c>
      <c r="U15" s="428">
        <f t="shared" ref="U15:U19" si="2">IFERROR(S15/I15,0)</f>
        <v>0</v>
      </c>
      <c r="V15" s="428">
        <f t="shared" si="0"/>
        <v>0.53724547868976857</v>
      </c>
      <c r="W15" s="423"/>
      <c r="X15" s="424">
        <f>T15+H15</f>
        <v>2124000</v>
      </c>
      <c r="Y15" s="429"/>
      <c r="Z15" s="430"/>
      <c r="AA15" s="431"/>
      <c r="AB15" s="378"/>
      <c r="AE15" s="347"/>
      <c r="AF15" s="347"/>
      <c r="AG15" s="347"/>
    </row>
    <row r="16" spans="1:33" s="346" customFormat="1" ht="38.25" x14ac:dyDescent="0.3">
      <c r="A16" s="379"/>
      <c r="B16" s="380"/>
      <c r="C16" s="432" t="s">
        <v>165</v>
      </c>
      <c r="D16" s="433" t="s">
        <v>166</v>
      </c>
      <c r="E16" s="423"/>
      <c r="F16" s="424"/>
      <c r="G16" s="423"/>
      <c r="H16" s="424"/>
      <c r="I16" s="425">
        <v>1</v>
      </c>
      <c r="J16" s="424">
        <v>4575500</v>
      </c>
      <c r="K16" s="426"/>
      <c r="L16" s="427">
        <v>642000</v>
      </c>
      <c r="M16" s="427">
        <v>0</v>
      </c>
      <c r="N16" s="427">
        <v>0</v>
      </c>
      <c r="O16" s="427">
        <v>0</v>
      </c>
      <c r="P16" s="427">
        <v>0</v>
      </c>
      <c r="Q16" s="427">
        <v>0</v>
      </c>
      <c r="R16" s="427">
        <v>0</v>
      </c>
      <c r="S16" s="424">
        <f t="shared" si="1"/>
        <v>0</v>
      </c>
      <c r="T16" s="424">
        <f t="shared" si="1"/>
        <v>642000</v>
      </c>
      <c r="U16" s="428">
        <f t="shared" si="2"/>
        <v>0</v>
      </c>
      <c r="V16" s="428">
        <f t="shared" si="0"/>
        <v>0.1403125341492733</v>
      </c>
      <c r="W16" s="423"/>
      <c r="X16" s="424">
        <f>T16+H16</f>
        <v>642000</v>
      </c>
      <c r="Y16" s="429"/>
      <c r="Z16" s="430"/>
      <c r="AA16" s="431"/>
      <c r="AB16" s="378"/>
      <c r="AE16" s="347"/>
      <c r="AF16" s="347"/>
      <c r="AG16" s="347"/>
    </row>
    <row r="17" spans="1:33" s="346" customFormat="1" ht="38.25" x14ac:dyDescent="0.3">
      <c r="A17" s="379"/>
      <c r="B17" s="380"/>
      <c r="C17" s="432" t="s">
        <v>167</v>
      </c>
      <c r="D17" s="433" t="s">
        <v>168</v>
      </c>
      <c r="E17" s="423"/>
      <c r="F17" s="424"/>
      <c r="G17" s="423"/>
      <c r="H17" s="424"/>
      <c r="I17" s="425">
        <v>1</v>
      </c>
      <c r="J17" s="424">
        <v>3187708</v>
      </c>
      <c r="K17" s="426"/>
      <c r="L17" s="434">
        <v>0</v>
      </c>
      <c r="M17" s="427">
        <v>0</v>
      </c>
      <c r="N17" s="427">
        <v>0</v>
      </c>
      <c r="O17" s="427">
        <v>0</v>
      </c>
      <c r="P17" s="427">
        <v>1632500</v>
      </c>
      <c r="Q17" s="427">
        <v>1</v>
      </c>
      <c r="R17" s="427">
        <v>1417000</v>
      </c>
      <c r="S17" s="424">
        <f t="shared" si="1"/>
        <v>1</v>
      </c>
      <c r="T17" s="424">
        <f t="shared" si="1"/>
        <v>3049500</v>
      </c>
      <c r="U17" s="428">
        <f t="shared" si="2"/>
        <v>1</v>
      </c>
      <c r="V17" s="428">
        <f t="shared" si="0"/>
        <v>0.95664345667796424</v>
      </c>
      <c r="W17" s="423"/>
      <c r="X17" s="424">
        <f>T17+H17</f>
        <v>3049500</v>
      </c>
      <c r="Y17" s="429"/>
      <c r="Z17" s="430"/>
      <c r="AA17" s="431"/>
      <c r="AB17" s="378"/>
      <c r="AE17" s="347"/>
      <c r="AF17" s="347"/>
      <c r="AG17" s="347"/>
    </row>
    <row r="18" spans="1:33" s="346" customFormat="1" ht="57" customHeight="1" x14ac:dyDescent="0.3">
      <c r="A18" s="379"/>
      <c r="B18" s="380"/>
      <c r="C18" s="432" t="s">
        <v>352</v>
      </c>
      <c r="D18" s="433" t="s">
        <v>170</v>
      </c>
      <c r="E18" s="423"/>
      <c r="F18" s="424"/>
      <c r="G18" s="423"/>
      <c r="H18" s="424"/>
      <c r="I18" s="425">
        <v>2</v>
      </c>
      <c r="J18" s="424">
        <v>50107800</v>
      </c>
      <c r="K18" s="426"/>
      <c r="L18" s="427">
        <v>2620000</v>
      </c>
      <c r="M18" s="427">
        <v>0</v>
      </c>
      <c r="N18" s="427">
        <v>19470000</v>
      </c>
      <c r="O18" s="427">
        <v>2</v>
      </c>
      <c r="P18" s="427">
        <v>2990000</v>
      </c>
      <c r="Q18" s="427">
        <v>0</v>
      </c>
      <c r="R18" s="427">
        <v>450000</v>
      </c>
      <c r="S18" s="424">
        <f t="shared" si="1"/>
        <v>2</v>
      </c>
      <c r="T18" s="424">
        <f t="shared" si="1"/>
        <v>25530000</v>
      </c>
      <c r="U18" s="428">
        <f t="shared" si="2"/>
        <v>1</v>
      </c>
      <c r="V18" s="428">
        <f t="shared" si="0"/>
        <v>0.509501514734233</v>
      </c>
      <c r="W18" s="423"/>
      <c r="X18" s="424">
        <f>T18+H18</f>
        <v>25530000</v>
      </c>
      <c r="Y18" s="429"/>
      <c r="Z18" s="430"/>
      <c r="AA18" s="431"/>
      <c r="AB18" s="378"/>
      <c r="AE18" s="347"/>
      <c r="AF18" s="347"/>
      <c r="AG18" s="347"/>
    </row>
    <row r="19" spans="1:33" s="346" customFormat="1" ht="25.5" x14ac:dyDescent="0.3">
      <c r="A19" s="379"/>
      <c r="B19" s="380"/>
      <c r="C19" s="432" t="s">
        <v>20</v>
      </c>
      <c r="D19" s="433" t="s">
        <v>171</v>
      </c>
      <c r="E19" s="423"/>
      <c r="F19" s="424"/>
      <c r="G19" s="423"/>
      <c r="H19" s="424"/>
      <c r="I19" s="425">
        <v>1</v>
      </c>
      <c r="J19" s="424">
        <v>11912400</v>
      </c>
      <c r="K19" s="426"/>
      <c r="L19" s="427">
        <v>1120000</v>
      </c>
      <c r="M19" s="427">
        <v>0</v>
      </c>
      <c r="N19" s="427">
        <v>0</v>
      </c>
      <c r="O19" s="427">
        <v>0</v>
      </c>
      <c r="P19" s="427">
        <v>0</v>
      </c>
      <c r="Q19" s="427">
        <v>1</v>
      </c>
      <c r="R19" s="427">
        <v>8400000</v>
      </c>
      <c r="S19" s="424">
        <f t="shared" si="1"/>
        <v>1</v>
      </c>
      <c r="T19" s="424">
        <f t="shared" si="1"/>
        <v>9520000</v>
      </c>
      <c r="U19" s="428">
        <f t="shared" si="2"/>
        <v>1</v>
      </c>
      <c r="V19" s="428">
        <f t="shared" si="0"/>
        <v>0.79916725428964774</v>
      </c>
      <c r="W19" s="423"/>
      <c r="X19" s="424">
        <f>T19+H19</f>
        <v>9520000</v>
      </c>
      <c r="Y19" s="429"/>
      <c r="Z19" s="430"/>
      <c r="AA19" s="431"/>
      <c r="AB19" s="378"/>
      <c r="AE19" s="347"/>
      <c r="AF19" s="347"/>
      <c r="AG19" s="347"/>
    </row>
    <row r="20" spans="1:33" s="346" customFormat="1" ht="25.5" x14ac:dyDescent="0.3">
      <c r="A20" s="405"/>
      <c r="B20" s="406"/>
      <c r="C20" s="407" t="s">
        <v>172</v>
      </c>
      <c r="D20" s="408"/>
      <c r="E20" s="409"/>
      <c r="F20" s="410">
        <f>0+F21+F22+F23</f>
        <v>0</v>
      </c>
      <c r="G20" s="409"/>
      <c r="H20" s="410">
        <f>0+H21+H22+H23</f>
        <v>0</v>
      </c>
      <c r="I20" s="411"/>
      <c r="J20" s="412">
        <f>0+J21+J22+J23</f>
        <v>4125173600</v>
      </c>
      <c r="K20" s="413"/>
      <c r="L20" s="414">
        <f>0+L21+L22+L23</f>
        <v>835339192</v>
      </c>
      <c r="M20" s="413"/>
      <c r="N20" s="414">
        <f>0+N21+N22+N23</f>
        <v>1232016202</v>
      </c>
      <c r="O20" s="413"/>
      <c r="P20" s="414">
        <f>0+P21+P22+P23</f>
        <v>859201749</v>
      </c>
      <c r="Q20" s="413"/>
      <c r="R20" s="414">
        <f>0+R21+R22+R23</f>
        <v>842357837</v>
      </c>
      <c r="S20" s="412"/>
      <c r="T20" s="412">
        <f>0+T21+T22+T23</f>
        <v>3768914980</v>
      </c>
      <c r="U20" s="416">
        <v>0</v>
      </c>
      <c r="V20" s="416">
        <f t="shared" si="0"/>
        <v>0.91363790847493065</v>
      </c>
      <c r="W20" s="417"/>
      <c r="X20" s="412">
        <f>0+X21+X22+X23</f>
        <v>3768914980</v>
      </c>
      <c r="Y20" s="418"/>
      <c r="Z20" s="419">
        <f>0+Z21+Z22+Z23</f>
        <v>0</v>
      </c>
      <c r="AA20" s="420"/>
      <c r="AB20" s="378"/>
      <c r="AE20" s="347"/>
      <c r="AF20" s="347"/>
      <c r="AG20" s="347"/>
    </row>
    <row r="21" spans="1:33" s="346" customFormat="1" ht="38.25" x14ac:dyDescent="0.3">
      <c r="A21" s="379"/>
      <c r="B21" s="380"/>
      <c r="C21" s="432" t="s">
        <v>24</v>
      </c>
      <c r="D21" s="433" t="s">
        <v>173</v>
      </c>
      <c r="E21" s="423">
        <v>0</v>
      </c>
      <c r="F21" s="424">
        <v>0</v>
      </c>
      <c r="G21" s="423">
        <v>0</v>
      </c>
      <c r="H21" s="424">
        <v>0</v>
      </c>
      <c r="I21" s="435">
        <v>14</v>
      </c>
      <c r="J21" s="424">
        <v>4026513600</v>
      </c>
      <c r="K21" s="426">
        <v>3</v>
      </c>
      <c r="L21" s="427">
        <v>815659192</v>
      </c>
      <c r="M21" s="427">
        <v>3</v>
      </c>
      <c r="N21" s="427">
        <v>1208668202</v>
      </c>
      <c r="O21" s="427">
        <v>3</v>
      </c>
      <c r="P21" s="427">
        <v>839749799</v>
      </c>
      <c r="Q21" s="427">
        <v>5</v>
      </c>
      <c r="R21" s="427">
        <v>841107837</v>
      </c>
      <c r="S21" s="424">
        <f>K21+M21+O21+Q21</f>
        <v>14</v>
      </c>
      <c r="T21" s="424">
        <f t="shared" ref="S21:T23" si="3">SUM(L21,N21,P21,R21)</f>
        <v>3705185030</v>
      </c>
      <c r="U21" s="428">
        <f>IFERROR(S21/I21,0)</f>
        <v>1</v>
      </c>
      <c r="V21" s="428">
        <f t="shared" si="0"/>
        <v>0.92019682486605781</v>
      </c>
      <c r="W21" s="423">
        <f t="shared" ref="W21:X23" si="4">S21+G21</f>
        <v>14</v>
      </c>
      <c r="X21" s="424">
        <f t="shared" si="4"/>
        <v>3705185030</v>
      </c>
      <c r="Y21" s="429">
        <f t="shared" ref="Y21:Z23" si="5">IFERROR(W21/E21,0)</f>
        <v>0</v>
      </c>
      <c r="Z21" s="430">
        <f t="shared" si="5"/>
        <v>0</v>
      </c>
      <c r="AA21" s="431"/>
      <c r="AB21" s="378"/>
      <c r="AE21" s="347"/>
      <c r="AF21" s="347"/>
      <c r="AG21" s="347"/>
    </row>
    <row r="22" spans="1:33" s="346" customFormat="1" ht="51" x14ac:dyDescent="0.3">
      <c r="A22" s="379"/>
      <c r="B22" s="380"/>
      <c r="C22" s="432" t="s">
        <v>175</v>
      </c>
      <c r="D22" s="433" t="s">
        <v>176</v>
      </c>
      <c r="E22" s="423">
        <v>0</v>
      </c>
      <c r="F22" s="424">
        <v>0</v>
      </c>
      <c r="G22" s="423">
        <v>0</v>
      </c>
      <c r="H22" s="424">
        <v>0</v>
      </c>
      <c r="I22" s="435">
        <v>1</v>
      </c>
      <c r="J22" s="424">
        <v>40320000</v>
      </c>
      <c r="K22" s="426">
        <v>0</v>
      </c>
      <c r="L22" s="427">
        <v>7020000</v>
      </c>
      <c r="M22" s="427">
        <v>0</v>
      </c>
      <c r="N22" s="427">
        <v>9038000</v>
      </c>
      <c r="O22" s="427">
        <v>0</v>
      </c>
      <c r="P22" s="427">
        <v>6572000</v>
      </c>
      <c r="Q22" s="427">
        <v>1</v>
      </c>
      <c r="R22" s="427">
        <v>1250000</v>
      </c>
      <c r="S22" s="424">
        <f t="shared" si="3"/>
        <v>1</v>
      </c>
      <c r="T22" s="424">
        <f t="shared" si="3"/>
        <v>23880000</v>
      </c>
      <c r="U22" s="428">
        <f>IFERROR(S22/I22,0)</f>
        <v>1</v>
      </c>
      <c r="V22" s="428">
        <f t="shared" si="0"/>
        <v>0.59226190476190477</v>
      </c>
      <c r="W22" s="423">
        <f t="shared" si="4"/>
        <v>1</v>
      </c>
      <c r="X22" s="424">
        <f t="shared" si="4"/>
        <v>23880000</v>
      </c>
      <c r="Y22" s="429">
        <f t="shared" si="5"/>
        <v>0</v>
      </c>
      <c r="Z22" s="430">
        <f t="shared" si="5"/>
        <v>0</v>
      </c>
      <c r="AA22" s="431"/>
      <c r="AB22" s="378"/>
      <c r="AE22" s="347"/>
      <c r="AF22" s="347"/>
      <c r="AG22" s="347"/>
    </row>
    <row r="23" spans="1:33" s="346" customFormat="1" ht="51" x14ac:dyDescent="0.3">
      <c r="A23" s="379"/>
      <c r="B23" s="380"/>
      <c r="C23" s="432" t="s">
        <v>177</v>
      </c>
      <c r="D23" s="433" t="s">
        <v>178</v>
      </c>
      <c r="E23" s="423">
        <v>0</v>
      </c>
      <c r="F23" s="424">
        <v>0</v>
      </c>
      <c r="G23" s="423">
        <v>0</v>
      </c>
      <c r="H23" s="424">
        <v>0</v>
      </c>
      <c r="I23" s="435">
        <v>2</v>
      </c>
      <c r="J23" s="424">
        <v>58340000</v>
      </c>
      <c r="K23" s="426">
        <v>0</v>
      </c>
      <c r="L23" s="427">
        <v>12660000</v>
      </c>
      <c r="M23" s="427">
        <v>0</v>
      </c>
      <c r="N23" s="427">
        <v>14310000</v>
      </c>
      <c r="O23" s="427">
        <v>1</v>
      </c>
      <c r="P23" s="427">
        <v>12879950</v>
      </c>
      <c r="Q23" s="427">
        <v>0</v>
      </c>
      <c r="R23" s="427">
        <v>0</v>
      </c>
      <c r="S23" s="424">
        <f t="shared" si="3"/>
        <v>1</v>
      </c>
      <c r="T23" s="424">
        <f t="shared" si="3"/>
        <v>39849950</v>
      </c>
      <c r="U23" s="428">
        <f>IFERROR(S23/I23,0)</f>
        <v>0.5</v>
      </c>
      <c r="V23" s="428">
        <f t="shared" si="0"/>
        <v>0.68306393555022282</v>
      </c>
      <c r="W23" s="423">
        <f t="shared" si="4"/>
        <v>1</v>
      </c>
      <c r="X23" s="424">
        <f t="shared" si="4"/>
        <v>39849950</v>
      </c>
      <c r="Y23" s="429">
        <f t="shared" si="5"/>
        <v>0</v>
      </c>
      <c r="Z23" s="430">
        <f t="shared" si="5"/>
        <v>0</v>
      </c>
      <c r="AA23" s="431"/>
      <c r="AB23" s="378"/>
      <c r="AE23" s="347"/>
      <c r="AF23" s="347"/>
      <c r="AG23" s="347"/>
    </row>
    <row r="24" spans="1:33" s="346" customFormat="1" ht="38.25" x14ac:dyDescent="0.3">
      <c r="A24" s="405"/>
      <c r="B24" s="406"/>
      <c r="C24" s="407" t="s">
        <v>179</v>
      </c>
      <c r="D24" s="408"/>
      <c r="E24" s="409"/>
      <c r="F24" s="410">
        <f>0+F25</f>
        <v>0</v>
      </c>
      <c r="G24" s="409"/>
      <c r="H24" s="410">
        <f>0+H25</f>
        <v>0</v>
      </c>
      <c r="I24" s="411"/>
      <c r="J24" s="412">
        <f>0+J25</f>
        <v>28200000</v>
      </c>
      <c r="K24" s="413"/>
      <c r="L24" s="414">
        <f>0+L25</f>
        <v>6250000</v>
      </c>
      <c r="M24" s="413"/>
      <c r="N24" s="414">
        <f>0+N25</f>
        <v>3300000</v>
      </c>
      <c r="O24" s="413"/>
      <c r="P24" s="414">
        <f>0+P25</f>
        <v>10880500</v>
      </c>
      <c r="Q24" s="413"/>
      <c r="R24" s="414">
        <f>0+R25</f>
        <v>700000</v>
      </c>
      <c r="S24" s="412"/>
      <c r="T24" s="412">
        <f>0+T25</f>
        <v>21130500</v>
      </c>
      <c r="U24" s="416"/>
      <c r="V24" s="416">
        <f t="shared" si="0"/>
        <v>0.74930851063829784</v>
      </c>
      <c r="W24" s="417"/>
      <c r="X24" s="412">
        <f>0+X25</f>
        <v>21130500</v>
      </c>
      <c r="Y24" s="418"/>
      <c r="Z24" s="419">
        <f>0+Z25</f>
        <v>0</v>
      </c>
      <c r="AA24" s="420"/>
      <c r="AB24" s="378"/>
      <c r="AE24" s="347"/>
      <c r="AF24" s="347"/>
      <c r="AG24" s="347"/>
    </row>
    <row r="25" spans="1:33" s="346" customFormat="1" ht="32.450000000000003" customHeight="1" x14ac:dyDescent="0.3">
      <c r="A25" s="379"/>
      <c r="B25" s="380"/>
      <c r="C25" s="432" t="s">
        <v>180</v>
      </c>
      <c r="D25" s="433" t="s">
        <v>181</v>
      </c>
      <c r="E25" s="423">
        <v>0</v>
      </c>
      <c r="F25" s="424">
        <v>0</v>
      </c>
      <c r="G25" s="423">
        <v>0</v>
      </c>
      <c r="H25" s="424">
        <v>0</v>
      </c>
      <c r="I25" s="435">
        <v>1</v>
      </c>
      <c r="J25" s="424">
        <v>28200000</v>
      </c>
      <c r="K25" s="426">
        <v>0</v>
      </c>
      <c r="L25" s="426">
        <v>6250000</v>
      </c>
      <c r="M25" s="427">
        <v>0</v>
      </c>
      <c r="N25" s="427">
        <v>3300000</v>
      </c>
      <c r="O25" s="427">
        <v>0</v>
      </c>
      <c r="P25" s="427">
        <v>10880500</v>
      </c>
      <c r="Q25" s="427">
        <v>0</v>
      </c>
      <c r="R25" s="427">
        <v>700000</v>
      </c>
      <c r="S25" s="424">
        <f>SUM(K25,M25,O25,Q25)</f>
        <v>0</v>
      </c>
      <c r="T25" s="424">
        <f>SUM(L25,N25,P25,R25)</f>
        <v>21130500</v>
      </c>
      <c r="U25" s="428">
        <f>IFERROR(S25/I25,0)</f>
        <v>0</v>
      </c>
      <c r="V25" s="428">
        <f t="shared" si="0"/>
        <v>0.74930851063829784</v>
      </c>
      <c r="W25" s="423">
        <f>S25+G25</f>
        <v>0</v>
      </c>
      <c r="X25" s="424">
        <f>T25+H25</f>
        <v>21130500</v>
      </c>
      <c r="Y25" s="429">
        <f>IFERROR(W25/E25,0)</f>
        <v>0</v>
      </c>
      <c r="Z25" s="430">
        <f>IFERROR(X25/F25,0)</f>
        <v>0</v>
      </c>
      <c r="AA25" s="431"/>
      <c r="AB25" s="378"/>
      <c r="AE25" s="347"/>
      <c r="AF25" s="347"/>
      <c r="AG25" s="347"/>
    </row>
    <row r="26" spans="1:33" s="346" customFormat="1" ht="21.95" customHeight="1" x14ac:dyDescent="0.3">
      <c r="A26" s="405"/>
      <c r="B26" s="406"/>
      <c r="C26" s="407" t="s">
        <v>182</v>
      </c>
      <c r="D26" s="408"/>
      <c r="E26" s="409"/>
      <c r="F26" s="410">
        <f>0+F28</f>
        <v>0</v>
      </c>
      <c r="G26" s="409"/>
      <c r="H26" s="410">
        <f>0+H28</f>
        <v>0</v>
      </c>
      <c r="I26" s="411"/>
      <c r="J26" s="412">
        <f>J27+J28</f>
        <v>118360000</v>
      </c>
      <c r="K26" s="413"/>
      <c r="L26" s="414">
        <f>0+L28</f>
        <v>0</v>
      </c>
      <c r="M26" s="413"/>
      <c r="N26" s="412">
        <f>N27+N28</f>
        <v>34413300</v>
      </c>
      <c r="O26" s="413"/>
      <c r="P26" s="413"/>
      <c r="Q26" s="413"/>
      <c r="R26" s="412">
        <f>R27+R28</f>
        <v>22805950</v>
      </c>
      <c r="S26" s="412"/>
      <c r="T26" s="412">
        <f>0+T28</f>
        <v>57219250</v>
      </c>
      <c r="U26" s="416"/>
      <c r="V26" s="416">
        <f t="shared" si="0"/>
        <v>0.48343401486988846</v>
      </c>
      <c r="W26" s="417"/>
      <c r="X26" s="412">
        <f>0+X28</f>
        <v>57219250</v>
      </c>
      <c r="Y26" s="418"/>
      <c r="Z26" s="419">
        <f>0+Z28</f>
        <v>0</v>
      </c>
      <c r="AA26" s="420"/>
      <c r="AB26" s="378"/>
      <c r="AE26" s="347"/>
      <c r="AF26" s="347"/>
      <c r="AG26" s="347"/>
    </row>
    <row r="27" spans="1:33" s="448" customFormat="1" ht="42.95" customHeight="1" x14ac:dyDescent="0.3">
      <c r="A27" s="436"/>
      <c r="B27" s="437"/>
      <c r="C27" s="438" t="s">
        <v>353</v>
      </c>
      <c r="D27" s="439" t="s">
        <v>354</v>
      </c>
      <c r="E27" s="423">
        <v>0</v>
      </c>
      <c r="F27" s="424">
        <v>0</v>
      </c>
      <c r="G27" s="423">
        <v>0</v>
      </c>
      <c r="H27" s="424">
        <v>0</v>
      </c>
      <c r="I27" s="440">
        <v>66</v>
      </c>
      <c r="J27" s="434">
        <v>27000000</v>
      </c>
      <c r="K27" s="427">
        <v>0</v>
      </c>
      <c r="L27" s="427">
        <v>0</v>
      </c>
      <c r="M27" s="427">
        <v>0</v>
      </c>
      <c r="N27" s="427">
        <v>0</v>
      </c>
      <c r="O27" s="427">
        <v>0</v>
      </c>
      <c r="P27" s="427">
        <v>0</v>
      </c>
      <c r="Q27" s="427">
        <v>0</v>
      </c>
      <c r="R27" s="427">
        <v>0</v>
      </c>
      <c r="S27" s="441">
        <v>0</v>
      </c>
      <c r="T27" s="441"/>
      <c r="U27" s="442"/>
      <c r="V27" s="442"/>
      <c r="W27" s="443"/>
      <c r="X27" s="441"/>
      <c r="Y27" s="444"/>
      <c r="Z27" s="445"/>
      <c r="AA27" s="446"/>
      <c r="AB27" s="447"/>
      <c r="AE27" s="449"/>
      <c r="AF27" s="449"/>
      <c r="AG27" s="449"/>
    </row>
    <row r="28" spans="1:33" s="346" customFormat="1" ht="63.75" x14ac:dyDescent="0.3">
      <c r="A28" s="379"/>
      <c r="B28" s="380"/>
      <c r="C28" s="432" t="s">
        <v>186</v>
      </c>
      <c r="D28" s="433" t="s">
        <v>187</v>
      </c>
      <c r="E28" s="423">
        <v>0</v>
      </c>
      <c r="F28" s="424">
        <v>0</v>
      </c>
      <c r="G28" s="423">
        <v>0</v>
      </c>
      <c r="H28" s="424">
        <v>0</v>
      </c>
      <c r="I28" s="435">
        <v>15</v>
      </c>
      <c r="J28" s="424">
        <v>91360000</v>
      </c>
      <c r="K28" s="426">
        <v>0</v>
      </c>
      <c r="L28" s="426">
        <v>0</v>
      </c>
      <c r="M28" s="427">
        <v>13</v>
      </c>
      <c r="N28" s="427">
        <v>34413300</v>
      </c>
      <c r="O28" s="427">
        <v>0</v>
      </c>
      <c r="P28" s="427">
        <v>0</v>
      </c>
      <c r="Q28" s="427">
        <v>1</v>
      </c>
      <c r="R28" s="427">
        <v>22805950</v>
      </c>
      <c r="S28" s="424">
        <f>SUM(K28,M28,O28,Q28)</f>
        <v>14</v>
      </c>
      <c r="T28" s="424">
        <f>SUM(L28,N28,P28,R28)</f>
        <v>57219250</v>
      </c>
      <c r="U28" s="428">
        <f>IFERROR(S28/I28,0)</f>
        <v>0.93333333333333335</v>
      </c>
      <c r="V28" s="428">
        <f t="shared" si="0"/>
        <v>0.6263052758318739</v>
      </c>
      <c r="W28" s="423">
        <f>S28+G28</f>
        <v>14</v>
      </c>
      <c r="X28" s="424">
        <f>T28+H28</f>
        <v>57219250</v>
      </c>
      <c r="Y28" s="429">
        <f>IFERROR(W28/E28,0)</f>
        <v>0</v>
      </c>
      <c r="Z28" s="430">
        <f>IFERROR(X28/F28,0)</f>
        <v>0</v>
      </c>
      <c r="AA28" s="431"/>
      <c r="AB28" s="378"/>
      <c r="AE28" s="347"/>
      <c r="AF28" s="347"/>
      <c r="AG28" s="347"/>
    </row>
    <row r="29" spans="1:33" s="346" customFormat="1" ht="36.950000000000003" customHeight="1" x14ac:dyDescent="0.3">
      <c r="A29" s="405"/>
      <c r="B29" s="406"/>
      <c r="C29" s="407" t="s">
        <v>42</v>
      </c>
      <c r="D29" s="408"/>
      <c r="E29" s="409"/>
      <c r="F29" s="410">
        <f>0+F30+F31+F32+F33+F34</f>
        <v>0</v>
      </c>
      <c r="G29" s="409"/>
      <c r="H29" s="410">
        <f>0+H30+H31+H32+H33+H34</f>
        <v>0</v>
      </c>
      <c r="I29" s="411"/>
      <c r="J29" s="412">
        <f>0+J30+J31+J32+J33+J34</f>
        <v>377423760</v>
      </c>
      <c r="K29" s="413"/>
      <c r="L29" s="414">
        <f>0+L30+L31+L32+L33+L34</f>
        <v>30834900</v>
      </c>
      <c r="M29" s="413"/>
      <c r="N29" s="414">
        <f>0+N30+N31+N32+N33+N34</f>
        <v>94976341</v>
      </c>
      <c r="O29" s="413"/>
      <c r="P29" s="414">
        <f>0+P30+P31+P32+P33+P34</f>
        <v>80218297</v>
      </c>
      <c r="Q29" s="413"/>
      <c r="R29" s="414">
        <f>0+R30+R31+R32+R33+R34</f>
        <v>31781461</v>
      </c>
      <c r="S29" s="412"/>
      <c r="T29" s="412">
        <f>0+T30+T31+T32+T33+T34</f>
        <v>237810999</v>
      </c>
      <c r="U29" s="416"/>
      <c r="V29" s="416">
        <f>IFERROR(T29/J29,0)</f>
        <v>0.63009016443479871</v>
      </c>
      <c r="W29" s="417"/>
      <c r="X29" s="412">
        <f>0+X30+X31+X32+X33+X34</f>
        <v>237810999</v>
      </c>
      <c r="Y29" s="418"/>
      <c r="Z29" s="419" t="e">
        <f>0+Z30+Z31+Z32+Z33+#REF!+Z34</f>
        <v>#REF!</v>
      </c>
      <c r="AA29" s="420"/>
      <c r="AB29" s="378"/>
      <c r="AE29" s="347"/>
      <c r="AF29" s="347"/>
      <c r="AG29" s="347"/>
    </row>
    <row r="30" spans="1:33" s="346" customFormat="1" ht="38.25" x14ac:dyDescent="0.3">
      <c r="A30" s="379"/>
      <c r="B30" s="380"/>
      <c r="C30" s="432" t="s">
        <v>188</v>
      </c>
      <c r="D30" s="433" t="s">
        <v>189</v>
      </c>
      <c r="E30" s="423">
        <v>0</v>
      </c>
      <c r="F30" s="424">
        <v>0</v>
      </c>
      <c r="G30" s="423">
        <v>0</v>
      </c>
      <c r="H30" s="424">
        <v>0</v>
      </c>
      <c r="I30" s="425">
        <v>12</v>
      </c>
      <c r="J30" s="424">
        <v>8440760</v>
      </c>
      <c r="K30" s="426">
        <v>0</v>
      </c>
      <c r="L30" s="434">
        <v>0</v>
      </c>
      <c r="M30" s="427">
        <v>6</v>
      </c>
      <c r="N30" s="427">
        <v>1462600</v>
      </c>
      <c r="O30" s="427">
        <v>1</v>
      </c>
      <c r="P30" s="427">
        <v>1937100</v>
      </c>
      <c r="Q30" s="427">
        <v>0</v>
      </c>
      <c r="R30" s="427">
        <v>0</v>
      </c>
      <c r="S30" s="424">
        <f t="shared" ref="S30:T33" si="6">SUM(K30,M30,O30,Q30)</f>
        <v>7</v>
      </c>
      <c r="T30" s="424">
        <f t="shared" si="6"/>
        <v>3399700</v>
      </c>
      <c r="U30" s="428">
        <f>IFERROR(S30/I30,0)</f>
        <v>0.58333333333333337</v>
      </c>
      <c r="V30" s="428">
        <f t="shared" si="0"/>
        <v>0.40277178832237853</v>
      </c>
      <c r="W30" s="423">
        <f t="shared" ref="W30:X34" si="7">S30+G30</f>
        <v>7</v>
      </c>
      <c r="X30" s="424">
        <f t="shared" si="7"/>
        <v>3399700</v>
      </c>
      <c r="Y30" s="429">
        <f t="shared" ref="Y30:Z34" si="8">IFERROR(W30/E30,0)</f>
        <v>0</v>
      </c>
      <c r="Z30" s="430">
        <f t="shared" si="8"/>
        <v>0</v>
      </c>
      <c r="AA30" s="431"/>
      <c r="AB30" s="378"/>
      <c r="AE30" s="347"/>
      <c r="AF30" s="347"/>
      <c r="AG30" s="347"/>
    </row>
    <row r="31" spans="1:33" s="346" customFormat="1" ht="38.25" x14ac:dyDescent="0.3">
      <c r="A31" s="379"/>
      <c r="B31" s="380"/>
      <c r="C31" s="432" t="s">
        <v>190</v>
      </c>
      <c r="D31" s="433" t="s">
        <v>355</v>
      </c>
      <c r="E31" s="423">
        <v>0</v>
      </c>
      <c r="F31" s="424">
        <v>0</v>
      </c>
      <c r="G31" s="423">
        <v>0</v>
      </c>
      <c r="H31" s="424">
        <v>0</v>
      </c>
      <c r="I31" s="425">
        <v>12</v>
      </c>
      <c r="J31" s="424">
        <v>44981100</v>
      </c>
      <c r="K31" s="426">
        <v>3</v>
      </c>
      <c r="L31" s="434">
        <v>9857000</v>
      </c>
      <c r="M31" s="427">
        <v>3</v>
      </c>
      <c r="N31" s="427">
        <v>11005000</v>
      </c>
      <c r="O31" s="427">
        <v>1</v>
      </c>
      <c r="P31" s="427">
        <v>10644500</v>
      </c>
      <c r="Q31" s="427">
        <v>3</v>
      </c>
      <c r="R31" s="427">
        <v>1000000</v>
      </c>
      <c r="S31" s="424">
        <f t="shared" si="6"/>
        <v>10</v>
      </c>
      <c r="T31" s="424">
        <f t="shared" si="6"/>
        <v>32506500</v>
      </c>
      <c r="U31" s="428">
        <f>IFERROR(S31/I31,0)</f>
        <v>0.83333333333333337</v>
      </c>
      <c r="V31" s="428">
        <f t="shared" si="0"/>
        <v>0.72267018814568784</v>
      </c>
      <c r="W31" s="423">
        <f t="shared" si="7"/>
        <v>10</v>
      </c>
      <c r="X31" s="424">
        <f t="shared" si="7"/>
        <v>32506500</v>
      </c>
      <c r="Y31" s="429">
        <f t="shared" si="8"/>
        <v>0</v>
      </c>
      <c r="Z31" s="430">
        <f t="shared" si="8"/>
        <v>0</v>
      </c>
      <c r="AA31" s="431"/>
      <c r="AB31" s="378"/>
      <c r="AE31" s="347"/>
      <c r="AF31" s="347"/>
      <c r="AG31" s="347"/>
    </row>
    <row r="32" spans="1:33" s="346" customFormat="1" ht="51" x14ac:dyDescent="0.3">
      <c r="A32" s="379"/>
      <c r="B32" s="380"/>
      <c r="C32" s="432" t="s">
        <v>48</v>
      </c>
      <c r="D32" s="433" t="s">
        <v>356</v>
      </c>
      <c r="E32" s="423">
        <v>0</v>
      </c>
      <c r="F32" s="424">
        <v>0</v>
      </c>
      <c r="G32" s="423">
        <v>0</v>
      </c>
      <c r="H32" s="424">
        <v>0</v>
      </c>
      <c r="I32" s="425">
        <v>12</v>
      </c>
      <c r="J32" s="424">
        <v>45262900</v>
      </c>
      <c r="K32" s="426">
        <v>3</v>
      </c>
      <c r="L32" s="427">
        <v>5947900</v>
      </c>
      <c r="M32" s="427">
        <v>3</v>
      </c>
      <c r="N32" s="427">
        <v>18672200</v>
      </c>
      <c r="O32" s="427">
        <v>1</v>
      </c>
      <c r="P32" s="427">
        <v>4351400</v>
      </c>
      <c r="Q32" s="427">
        <v>3</v>
      </c>
      <c r="R32" s="427">
        <v>320000</v>
      </c>
      <c r="S32" s="424">
        <f t="shared" si="6"/>
        <v>10</v>
      </c>
      <c r="T32" s="424">
        <f t="shared" si="6"/>
        <v>29291500</v>
      </c>
      <c r="U32" s="428">
        <f>IFERROR(S32/I32,0)</f>
        <v>0.83333333333333337</v>
      </c>
      <c r="V32" s="428">
        <f t="shared" si="0"/>
        <v>0.64714147789911824</v>
      </c>
      <c r="W32" s="423">
        <f t="shared" si="7"/>
        <v>10</v>
      </c>
      <c r="X32" s="424">
        <f t="shared" si="7"/>
        <v>29291500</v>
      </c>
      <c r="Y32" s="429">
        <f t="shared" si="8"/>
        <v>0</v>
      </c>
      <c r="Z32" s="430">
        <f t="shared" si="8"/>
        <v>0</v>
      </c>
      <c r="AA32" s="431"/>
      <c r="AB32" s="378"/>
      <c r="AE32" s="347"/>
      <c r="AF32" s="347"/>
      <c r="AG32" s="347"/>
    </row>
    <row r="33" spans="1:33" s="346" customFormat="1" ht="51" x14ac:dyDescent="0.3">
      <c r="A33" s="379"/>
      <c r="B33" s="380"/>
      <c r="C33" s="432" t="s">
        <v>193</v>
      </c>
      <c r="D33" s="433" t="s">
        <v>194</v>
      </c>
      <c r="E33" s="423">
        <v>0</v>
      </c>
      <c r="F33" s="424">
        <v>0</v>
      </c>
      <c r="G33" s="423">
        <v>0</v>
      </c>
      <c r="H33" s="424">
        <v>0</v>
      </c>
      <c r="I33" s="425">
        <v>12</v>
      </c>
      <c r="J33" s="424">
        <v>9366000</v>
      </c>
      <c r="K33" s="426">
        <v>0</v>
      </c>
      <c r="L33" s="434">
        <v>0</v>
      </c>
      <c r="M33" s="427">
        <v>2</v>
      </c>
      <c r="N33" s="427">
        <v>705500</v>
      </c>
      <c r="O33" s="427">
        <v>0</v>
      </c>
      <c r="P33" s="427">
        <v>0</v>
      </c>
      <c r="Q33" s="427">
        <v>0</v>
      </c>
      <c r="R33" s="427">
        <v>0</v>
      </c>
      <c r="S33" s="424">
        <f t="shared" si="6"/>
        <v>2</v>
      </c>
      <c r="T33" s="424">
        <f t="shared" si="6"/>
        <v>705500</v>
      </c>
      <c r="U33" s="428">
        <f>IFERROR(S33/I33,0)</f>
        <v>0.16666666666666666</v>
      </c>
      <c r="V33" s="428">
        <f t="shared" si="0"/>
        <v>7.532564595344865E-2</v>
      </c>
      <c r="W33" s="423">
        <f t="shared" si="7"/>
        <v>2</v>
      </c>
      <c r="X33" s="424">
        <f t="shared" si="7"/>
        <v>705500</v>
      </c>
      <c r="Y33" s="429">
        <f t="shared" si="8"/>
        <v>0</v>
      </c>
      <c r="Z33" s="430">
        <f t="shared" si="8"/>
        <v>0</v>
      </c>
      <c r="AA33" s="431"/>
      <c r="AB33" s="378"/>
      <c r="AE33" s="347"/>
      <c r="AF33" s="347"/>
      <c r="AG33" s="347"/>
    </row>
    <row r="34" spans="1:33" s="346" customFormat="1" ht="51" x14ac:dyDescent="0.3">
      <c r="A34" s="379"/>
      <c r="B34" s="380"/>
      <c r="C34" s="432" t="s">
        <v>195</v>
      </c>
      <c r="D34" s="433" t="s">
        <v>196</v>
      </c>
      <c r="E34" s="423">
        <v>0</v>
      </c>
      <c r="F34" s="424">
        <v>0</v>
      </c>
      <c r="G34" s="423">
        <v>0</v>
      </c>
      <c r="H34" s="424">
        <v>0</v>
      </c>
      <c r="I34" s="425">
        <v>12</v>
      </c>
      <c r="J34" s="424">
        <v>269373000</v>
      </c>
      <c r="K34" s="426">
        <v>0</v>
      </c>
      <c r="L34" s="427">
        <v>15030000</v>
      </c>
      <c r="M34" s="427">
        <v>6</v>
      </c>
      <c r="N34" s="427">
        <v>63131041</v>
      </c>
      <c r="O34" s="427">
        <v>1</v>
      </c>
      <c r="P34" s="427">
        <v>63285297</v>
      </c>
      <c r="Q34" s="427">
        <v>3</v>
      </c>
      <c r="R34" s="427">
        <v>30461461</v>
      </c>
      <c r="S34" s="424">
        <f>SUM(K34,M34,O34,Q34)</f>
        <v>10</v>
      </c>
      <c r="T34" s="424">
        <f>SUM(L34,N34,P34,R34)</f>
        <v>171907799</v>
      </c>
      <c r="U34" s="428">
        <f>IFERROR(S34/I34,0)</f>
        <v>0.83333333333333337</v>
      </c>
      <c r="V34" s="428">
        <f t="shared" si="0"/>
        <v>0.63817754192142495</v>
      </c>
      <c r="W34" s="423">
        <f t="shared" si="7"/>
        <v>10</v>
      </c>
      <c r="X34" s="424">
        <f t="shared" si="7"/>
        <v>171907799</v>
      </c>
      <c r="Y34" s="429">
        <f t="shared" si="8"/>
        <v>0</v>
      </c>
      <c r="Z34" s="430">
        <f t="shared" si="8"/>
        <v>0</v>
      </c>
      <c r="AA34" s="431"/>
      <c r="AB34" s="378"/>
      <c r="AE34" s="347"/>
      <c r="AF34" s="347"/>
      <c r="AG34" s="347"/>
    </row>
    <row r="35" spans="1:33" s="455" customFormat="1" ht="44.45" customHeight="1" x14ac:dyDescent="0.3">
      <c r="A35" s="405"/>
      <c r="B35" s="406"/>
      <c r="C35" s="407" t="s">
        <v>197</v>
      </c>
      <c r="D35" s="408"/>
      <c r="E35" s="409"/>
      <c r="F35" s="410"/>
      <c r="G35" s="409"/>
      <c r="H35" s="410"/>
      <c r="I35" s="450"/>
      <c r="J35" s="412">
        <f>J36+J37+J38</f>
        <v>592200000</v>
      </c>
      <c r="K35" s="413"/>
      <c r="L35" s="413"/>
      <c r="M35" s="413"/>
      <c r="N35" s="413"/>
      <c r="O35" s="413"/>
      <c r="P35" s="414">
        <f>P36+P37+P38</f>
        <v>230201800</v>
      </c>
      <c r="Q35" s="413"/>
      <c r="R35" s="414">
        <f>R36+R37+R38</f>
        <v>279950000</v>
      </c>
      <c r="S35" s="410"/>
      <c r="T35" s="412">
        <f>T36+T37+T38</f>
        <v>510151800</v>
      </c>
      <c r="U35" s="415"/>
      <c r="V35" s="416">
        <f>IFERROR(T35/J35,0)</f>
        <v>0.86145187436676796</v>
      </c>
      <c r="W35" s="409"/>
      <c r="X35" s="412">
        <f>X36+X37+X38</f>
        <v>510151800</v>
      </c>
      <c r="Y35" s="451"/>
      <c r="Z35" s="452"/>
      <c r="AA35" s="453"/>
      <c r="AB35" s="454"/>
      <c r="AE35" s="456"/>
      <c r="AF35" s="456"/>
      <c r="AG35" s="456"/>
    </row>
    <row r="36" spans="1:33" s="346" customFormat="1" ht="28.5" customHeight="1" x14ac:dyDescent="0.3">
      <c r="A36" s="379"/>
      <c r="B36" s="380"/>
      <c r="C36" s="432" t="s">
        <v>320</v>
      </c>
      <c r="D36" s="432" t="s">
        <v>357</v>
      </c>
      <c r="E36" s="423">
        <v>0</v>
      </c>
      <c r="F36" s="424">
        <v>0</v>
      </c>
      <c r="G36" s="423">
        <v>0</v>
      </c>
      <c r="H36" s="424">
        <v>0</v>
      </c>
      <c r="I36" s="425">
        <v>10</v>
      </c>
      <c r="J36" s="424">
        <v>56000000</v>
      </c>
      <c r="K36" s="426">
        <v>0</v>
      </c>
      <c r="L36" s="427">
        <v>0</v>
      </c>
      <c r="M36" s="427">
        <v>0</v>
      </c>
      <c r="N36" s="427">
        <v>0</v>
      </c>
      <c r="O36" s="427">
        <v>0</v>
      </c>
      <c r="P36" s="427">
        <v>0</v>
      </c>
      <c r="Q36" s="427">
        <v>0</v>
      </c>
      <c r="R36" s="427">
        <v>0</v>
      </c>
      <c r="S36" s="424">
        <f t="shared" ref="S36" si="9">SUM(K36,M36,O36,Q36)</f>
        <v>0</v>
      </c>
      <c r="T36" s="424">
        <f>SUM(L36,N36,P36,R36)</f>
        <v>0</v>
      </c>
      <c r="U36" s="428">
        <f>IFERROR(S36/I36,0)</f>
        <v>0</v>
      </c>
      <c r="V36" s="428">
        <f t="shared" ref="V36:V37" si="10">IFERROR(T36/J36,0)</f>
        <v>0</v>
      </c>
      <c r="W36" s="423">
        <f t="shared" ref="W36:X38" si="11">S36+G36</f>
        <v>0</v>
      </c>
      <c r="X36" s="424">
        <f t="shared" si="11"/>
        <v>0</v>
      </c>
      <c r="Y36" s="429">
        <f t="shared" ref="Y36:Z38" si="12">IFERROR(W36/E36,0)</f>
        <v>0</v>
      </c>
      <c r="Z36" s="430">
        <f t="shared" si="12"/>
        <v>0</v>
      </c>
      <c r="AA36" s="431"/>
      <c r="AB36" s="378"/>
      <c r="AE36" s="347"/>
      <c r="AF36" s="347"/>
      <c r="AG36" s="347"/>
    </row>
    <row r="37" spans="1:33" s="346" customFormat="1" ht="47.1" customHeight="1" x14ac:dyDescent="0.3">
      <c r="A37" s="379"/>
      <c r="B37" s="380"/>
      <c r="C37" s="432" t="s">
        <v>358</v>
      </c>
      <c r="D37" s="433" t="s">
        <v>359</v>
      </c>
      <c r="E37" s="423">
        <v>0</v>
      </c>
      <c r="F37" s="424">
        <v>0</v>
      </c>
      <c r="G37" s="423">
        <v>0</v>
      </c>
      <c r="H37" s="424">
        <v>0</v>
      </c>
      <c r="I37" s="425">
        <v>45</v>
      </c>
      <c r="J37" s="424">
        <v>120800000</v>
      </c>
      <c r="K37" s="426">
        <v>0</v>
      </c>
      <c r="L37" s="427">
        <v>0</v>
      </c>
      <c r="M37" s="427">
        <v>0</v>
      </c>
      <c r="N37" s="427">
        <v>0</v>
      </c>
      <c r="O37" s="427">
        <v>0</v>
      </c>
      <c r="P37" s="427">
        <v>0</v>
      </c>
      <c r="Q37" s="427">
        <v>45</v>
      </c>
      <c r="R37" s="427">
        <v>120150000</v>
      </c>
      <c r="S37" s="424">
        <f>SUM(K37,M37,O37,Q37)</f>
        <v>45</v>
      </c>
      <c r="T37" s="424">
        <f>SUM(L37,N37,P37,R37)</f>
        <v>120150000</v>
      </c>
      <c r="U37" s="428">
        <f>IFERROR(S37/I37,0)</f>
        <v>1</v>
      </c>
      <c r="V37" s="428">
        <f t="shared" si="10"/>
        <v>0.99461920529801329</v>
      </c>
      <c r="W37" s="423">
        <f t="shared" si="11"/>
        <v>45</v>
      </c>
      <c r="X37" s="424">
        <f t="shared" si="11"/>
        <v>120150000</v>
      </c>
      <c r="Y37" s="429">
        <f t="shared" si="12"/>
        <v>0</v>
      </c>
      <c r="Z37" s="430">
        <f t="shared" si="12"/>
        <v>0</v>
      </c>
      <c r="AA37" s="431"/>
      <c r="AB37" s="378"/>
      <c r="AE37" s="347"/>
      <c r="AF37" s="347"/>
      <c r="AG37" s="347"/>
    </row>
    <row r="38" spans="1:33" s="346" customFormat="1" ht="65.45" customHeight="1" x14ac:dyDescent="0.3">
      <c r="A38" s="379"/>
      <c r="B38" s="380"/>
      <c r="C38" s="432" t="s">
        <v>360</v>
      </c>
      <c r="D38" s="433" t="s">
        <v>361</v>
      </c>
      <c r="E38" s="423">
        <v>0</v>
      </c>
      <c r="F38" s="424">
        <v>0</v>
      </c>
      <c r="G38" s="423">
        <v>0</v>
      </c>
      <c r="H38" s="424">
        <v>0</v>
      </c>
      <c r="I38" s="425">
        <v>1</v>
      </c>
      <c r="J38" s="424">
        <v>415400000</v>
      </c>
      <c r="K38" s="426">
        <v>0</v>
      </c>
      <c r="L38" s="427">
        <v>0</v>
      </c>
      <c r="M38" s="427">
        <v>0</v>
      </c>
      <c r="N38" s="427">
        <v>0</v>
      </c>
      <c r="O38" s="427">
        <v>1</v>
      </c>
      <c r="P38" s="427">
        <v>230201800</v>
      </c>
      <c r="Q38" s="427">
        <v>0</v>
      </c>
      <c r="R38" s="427">
        <v>159800000</v>
      </c>
      <c r="S38" s="424">
        <v>1</v>
      </c>
      <c r="T38" s="424">
        <f>SUM(L38,N38,P38,R38)</f>
        <v>390001800</v>
      </c>
      <c r="U38" s="428">
        <f>IFERROR(S38/I38,0)</f>
        <v>1</v>
      </c>
      <c r="V38" s="428">
        <f t="shared" si="0"/>
        <v>0.93885844968704868</v>
      </c>
      <c r="W38" s="423">
        <f t="shared" si="11"/>
        <v>1</v>
      </c>
      <c r="X38" s="424">
        <f t="shared" si="11"/>
        <v>390001800</v>
      </c>
      <c r="Y38" s="429">
        <f t="shared" si="12"/>
        <v>0</v>
      </c>
      <c r="Z38" s="430">
        <f t="shared" si="12"/>
        <v>0</v>
      </c>
      <c r="AA38" s="431"/>
      <c r="AB38" s="378"/>
      <c r="AE38" s="347"/>
      <c r="AF38" s="347"/>
      <c r="AG38" s="347"/>
    </row>
    <row r="39" spans="1:33" s="346" customFormat="1" ht="38.25" x14ac:dyDescent="0.3">
      <c r="A39" s="405"/>
      <c r="B39" s="406"/>
      <c r="C39" s="407" t="s">
        <v>62</v>
      </c>
      <c r="D39" s="408"/>
      <c r="E39" s="409"/>
      <c r="F39" s="410">
        <f>0++F40+F41</f>
        <v>0</v>
      </c>
      <c r="G39" s="409"/>
      <c r="H39" s="410">
        <f>0+H40+H41</f>
        <v>0</v>
      </c>
      <c r="I39" s="411"/>
      <c r="J39" s="412">
        <f>0+J40+J41</f>
        <v>695371000</v>
      </c>
      <c r="K39" s="414"/>
      <c r="L39" s="414">
        <f>0+L40+L41</f>
        <v>155984460</v>
      </c>
      <c r="M39" s="413"/>
      <c r="N39" s="414">
        <f>0+N40+N41</f>
        <v>156318767</v>
      </c>
      <c r="O39" s="413"/>
      <c r="P39" s="414">
        <f>0+P40+P41</f>
        <v>153646712</v>
      </c>
      <c r="Q39" s="413"/>
      <c r="R39" s="414">
        <f>0+R40+R41</f>
        <v>99884415</v>
      </c>
      <c r="S39" s="412"/>
      <c r="T39" s="412">
        <f>0+T40+T41</f>
        <v>565834354</v>
      </c>
      <c r="U39" s="416"/>
      <c r="V39" s="416">
        <f t="shared" si="0"/>
        <v>0.81371577762086711</v>
      </c>
      <c r="W39" s="417"/>
      <c r="X39" s="412">
        <f>0+X40+X41</f>
        <v>565834354</v>
      </c>
      <c r="Y39" s="418"/>
      <c r="Z39" s="419" t="e">
        <f>0+#REF!+Z40+Z41+#REF!</f>
        <v>#REF!</v>
      </c>
      <c r="AA39" s="420"/>
      <c r="AB39" s="378"/>
      <c r="AE39" s="347"/>
      <c r="AF39" s="347"/>
      <c r="AG39" s="347"/>
    </row>
    <row r="40" spans="1:33" s="346" customFormat="1" ht="48.95" customHeight="1" x14ac:dyDescent="0.3">
      <c r="A40" s="379"/>
      <c r="B40" s="380"/>
      <c r="C40" s="432" t="s">
        <v>201</v>
      </c>
      <c r="D40" s="433" t="s">
        <v>202</v>
      </c>
      <c r="E40" s="423">
        <v>0</v>
      </c>
      <c r="F40" s="424">
        <v>0</v>
      </c>
      <c r="G40" s="423">
        <v>0</v>
      </c>
      <c r="H40" s="424">
        <v>0</v>
      </c>
      <c r="I40" s="435">
        <v>12</v>
      </c>
      <c r="J40" s="424">
        <v>133000000</v>
      </c>
      <c r="K40" s="426">
        <v>3</v>
      </c>
      <c r="L40" s="426">
        <v>27734460</v>
      </c>
      <c r="M40" s="427">
        <v>3</v>
      </c>
      <c r="N40" s="427">
        <v>23053367</v>
      </c>
      <c r="O40" s="427">
        <v>3</v>
      </c>
      <c r="P40" s="427">
        <v>22129562</v>
      </c>
      <c r="Q40" s="427">
        <v>1</v>
      </c>
      <c r="R40" s="427">
        <v>13384415</v>
      </c>
      <c r="S40" s="424">
        <f>SUM(K40,M40,O40,Q40)</f>
        <v>10</v>
      </c>
      <c r="T40" s="424">
        <f>SUM(L40,N40,P40,R40)</f>
        <v>86301804</v>
      </c>
      <c r="U40" s="428">
        <f>IFERROR(S40/I40,0)</f>
        <v>0.83333333333333337</v>
      </c>
      <c r="V40" s="428">
        <f t="shared" si="0"/>
        <v>0.64888574436090229</v>
      </c>
      <c r="W40" s="423">
        <f>S40+G40</f>
        <v>10</v>
      </c>
      <c r="X40" s="424">
        <f>T40+H40</f>
        <v>86301804</v>
      </c>
      <c r="Y40" s="429">
        <f>IFERROR(W40/E40,0)</f>
        <v>0</v>
      </c>
      <c r="Z40" s="430">
        <f>IFERROR(X40/F40,0)</f>
        <v>0</v>
      </c>
      <c r="AA40" s="431"/>
      <c r="AB40" s="378"/>
      <c r="AE40" s="347"/>
      <c r="AF40" s="347"/>
      <c r="AG40" s="347"/>
    </row>
    <row r="41" spans="1:33" s="346" customFormat="1" ht="66.95" customHeight="1" x14ac:dyDescent="0.3">
      <c r="A41" s="379"/>
      <c r="B41" s="380"/>
      <c r="C41" s="432" t="s">
        <v>68</v>
      </c>
      <c r="D41" s="433" t="s">
        <v>362</v>
      </c>
      <c r="E41" s="423">
        <v>0</v>
      </c>
      <c r="F41" s="424">
        <v>0</v>
      </c>
      <c r="G41" s="423">
        <v>0</v>
      </c>
      <c r="H41" s="424">
        <v>0</v>
      </c>
      <c r="I41" s="435">
        <v>12</v>
      </c>
      <c r="J41" s="424">
        <v>562371000</v>
      </c>
      <c r="K41" s="426">
        <v>3</v>
      </c>
      <c r="L41" s="426">
        <v>128250000</v>
      </c>
      <c r="M41" s="427">
        <v>3</v>
      </c>
      <c r="N41" s="427">
        <v>133265400</v>
      </c>
      <c r="O41" s="427">
        <v>3</v>
      </c>
      <c r="P41" s="427">
        <v>131517150</v>
      </c>
      <c r="Q41" s="427">
        <v>1</v>
      </c>
      <c r="R41" s="427">
        <v>86500000</v>
      </c>
      <c r="S41" s="424">
        <f>SUM(K41,M41,O41,Q41)</f>
        <v>10</v>
      </c>
      <c r="T41" s="424">
        <f>SUM(L41,N41,P41,R41)</f>
        <v>479532550</v>
      </c>
      <c r="U41" s="428">
        <f>IFERROR(S41/I41,0)</f>
        <v>0.83333333333333337</v>
      </c>
      <c r="V41" s="428">
        <f t="shared" si="0"/>
        <v>0.85269786315439455</v>
      </c>
      <c r="W41" s="423">
        <f>S41+G41</f>
        <v>10</v>
      </c>
      <c r="X41" s="424">
        <f>T41+H41</f>
        <v>479532550</v>
      </c>
      <c r="Y41" s="429">
        <f>IFERROR(W41/E41,0)</f>
        <v>0</v>
      </c>
      <c r="Z41" s="430">
        <f>IFERROR(X41/F41,0)</f>
        <v>0</v>
      </c>
      <c r="AA41" s="431"/>
      <c r="AB41" s="378"/>
      <c r="AE41" s="347"/>
      <c r="AF41" s="347"/>
      <c r="AG41" s="347"/>
    </row>
    <row r="42" spans="1:33" s="346" customFormat="1" ht="55.5" customHeight="1" x14ac:dyDescent="0.3">
      <c r="A42" s="405"/>
      <c r="B42" s="406"/>
      <c r="C42" s="407" t="s">
        <v>204</v>
      </c>
      <c r="D42" s="408"/>
      <c r="E42" s="409"/>
      <c r="F42" s="410">
        <f>0+F43+F53</f>
        <v>0</v>
      </c>
      <c r="G42" s="409"/>
      <c r="H42" s="410">
        <f>0+H43+H53</f>
        <v>0</v>
      </c>
      <c r="I42" s="411"/>
      <c r="J42" s="412">
        <f>0+J43+J44+J45+J46</f>
        <v>171670476</v>
      </c>
      <c r="K42" s="414"/>
      <c r="L42" s="414">
        <f>0+L43+L44+L45</f>
        <v>36755000</v>
      </c>
      <c r="M42" s="413"/>
      <c r="N42" s="414">
        <f>0+N43+N44+N45</f>
        <v>27450000</v>
      </c>
      <c r="O42" s="413"/>
      <c r="P42" s="414">
        <f>0+P43+P44+P45</f>
        <v>41600000</v>
      </c>
      <c r="Q42" s="413"/>
      <c r="R42" s="414">
        <f>0+R43+R44+R45</f>
        <v>7450000</v>
      </c>
      <c r="S42" s="412"/>
      <c r="T42" s="412">
        <f>0+T43+T46+T44+T45</f>
        <v>113255000</v>
      </c>
      <c r="U42" s="416"/>
      <c r="V42" s="416">
        <f t="shared" si="0"/>
        <v>0.65972322462716304</v>
      </c>
      <c r="W42" s="417"/>
      <c r="X42" s="412">
        <f>0+X43+X53+X44+X45+X46</f>
        <v>166450975</v>
      </c>
      <c r="Y42" s="418"/>
      <c r="Z42" s="419">
        <f>0+Z43+Z53</f>
        <v>0</v>
      </c>
      <c r="AA42" s="420"/>
      <c r="AB42" s="378"/>
      <c r="AE42" s="347"/>
      <c r="AF42" s="347"/>
      <c r="AG42" s="347"/>
    </row>
    <row r="43" spans="1:33" s="346" customFormat="1" ht="95.45" customHeight="1" x14ac:dyDescent="0.3">
      <c r="A43" s="379"/>
      <c r="B43" s="380"/>
      <c r="C43" s="432" t="s">
        <v>363</v>
      </c>
      <c r="D43" s="433" t="s">
        <v>206</v>
      </c>
      <c r="E43" s="423">
        <v>0</v>
      </c>
      <c r="F43" s="424">
        <v>0</v>
      </c>
      <c r="G43" s="423">
        <v>0</v>
      </c>
      <c r="H43" s="424">
        <v>0</v>
      </c>
      <c r="I43" s="435">
        <v>1</v>
      </c>
      <c r="J43" s="424">
        <v>24800000</v>
      </c>
      <c r="K43" s="426">
        <v>0</v>
      </c>
      <c r="L43" s="427">
        <v>5550000</v>
      </c>
      <c r="M43" s="427">
        <v>0</v>
      </c>
      <c r="N43" s="427">
        <v>6000000</v>
      </c>
      <c r="O43" s="427">
        <v>0</v>
      </c>
      <c r="P43" s="427">
        <v>6000000</v>
      </c>
      <c r="Q43" s="427">
        <v>1</v>
      </c>
      <c r="R43" s="427">
        <v>2000000</v>
      </c>
      <c r="S43" s="424">
        <f t="shared" ref="S43:T46" si="13">SUM(K43,M43,O43,Q43)</f>
        <v>1</v>
      </c>
      <c r="T43" s="424">
        <f t="shared" si="13"/>
        <v>19550000</v>
      </c>
      <c r="U43" s="428">
        <f>IFERROR(S43/I43,0)</f>
        <v>1</v>
      </c>
      <c r="V43" s="428">
        <f t="shared" si="0"/>
        <v>0.78830645161290325</v>
      </c>
      <c r="W43" s="423">
        <f t="shared" ref="W43:X46" si="14">S43+G43</f>
        <v>1</v>
      </c>
      <c r="X43" s="424">
        <f t="shared" si="14"/>
        <v>19550000</v>
      </c>
      <c r="Y43" s="429">
        <f t="shared" ref="Y43:Z46" si="15">IFERROR(W43/E43,0)</f>
        <v>0</v>
      </c>
      <c r="Z43" s="430">
        <f t="shared" si="15"/>
        <v>0</v>
      </c>
      <c r="AA43" s="431"/>
      <c r="AB43" s="378"/>
      <c r="AE43" s="347"/>
      <c r="AF43" s="347"/>
      <c r="AG43" s="347"/>
    </row>
    <row r="44" spans="1:33" s="346" customFormat="1" ht="93.95" customHeight="1" x14ac:dyDescent="0.3">
      <c r="A44" s="379"/>
      <c r="B44" s="380"/>
      <c r="C44" s="432" t="s">
        <v>364</v>
      </c>
      <c r="D44" s="433" t="s">
        <v>206</v>
      </c>
      <c r="E44" s="423">
        <v>0</v>
      </c>
      <c r="F44" s="424">
        <v>0</v>
      </c>
      <c r="G44" s="423">
        <v>0</v>
      </c>
      <c r="H44" s="424">
        <v>0</v>
      </c>
      <c r="I44" s="435">
        <v>3</v>
      </c>
      <c r="J44" s="424">
        <v>109000000</v>
      </c>
      <c r="K44" s="426">
        <v>0</v>
      </c>
      <c r="L44" s="427">
        <v>25270000</v>
      </c>
      <c r="M44" s="427">
        <v>0</v>
      </c>
      <c r="N44" s="427">
        <v>13950000</v>
      </c>
      <c r="O44" s="427">
        <v>0</v>
      </c>
      <c r="P44" s="427">
        <v>26180000</v>
      </c>
      <c r="Q44" s="427">
        <v>3</v>
      </c>
      <c r="R44" s="427">
        <v>5150000</v>
      </c>
      <c r="S44" s="424">
        <f t="shared" si="13"/>
        <v>3</v>
      </c>
      <c r="T44" s="424">
        <f t="shared" si="13"/>
        <v>70550000</v>
      </c>
      <c r="U44" s="428">
        <f>IFERROR(S44/I44,0)</f>
        <v>1</v>
      </c>
      <c r="V44" s="428">
        <f t="shared" si="0"/>
        <v>0.64724770642201834</v>
      </c>
      <c r="W44" s="423">
        <f t="shared" si="14"/>
        <v>3</v>
      </c>
      <c r="X44" s="424">
        <f t="shared" si="14"/>
        <v>70550000</v>
      </c>
      <c r="Y44" s="429">
        <f t="shared" si="15"/>
        <v>0</v>
      </c>
      <c r="Z44" s="430">
        <f t="shared" si="15"/>
        <v>0</v>
      </c>
      <c r="AA44" s="431"/>
      <c r="AB44" s="378"/>
      <c r="AE44" s="347"/>
      <c r="AF44" s="347"/>
      <c r="AG44" s="347"/>
    </row>
    <row r="45" spans="1:33" s="346" customFormat="1" ht="64.5" customHeight="1" x14ac:dyDescent="0.3">
      <c r="A45" s="379"/>
      <c r="B45" s="380"/>
      <c r="C45" s="432" t="s">
        <v>74</v>
      </c>
      <c r="D45" s="433" t="s">
        <v>207</v>
      </c>
      <c r="E45" s="423">
        <v>0</v>
      </c>
      <c r="F45" s="424">
        <v>0</v>
      </c>
      <c r="G45" s="423">
        <v>0</v>
      </c>
      <c r="H45" s="424">
        <v>0</v>
      </c>
      <c r="I45" s="435">
        <v>55</v>
      </c>
      <c r="J45" s="424">
        <v>32870476</v>
      </c>
      <c r="K45" s="426">
        <v>7</v>
      </c>
      <c r="L45" s="427">
        <v>5935000</v>
      </c>
      <c r="M45" s="427">
        <v>10</v>
      </c>
      <c r="N45" s="427">
        <v>7500000</v>
      </c>
      <c r="O45" s="427">
        <v>15</v>
      </c>
      <c r="P45" s="427">
        <v>9420000</v>
      </c>
      <c r="Q45" s="427">
        <v>8</v>
      </c>
      <c r="R45" s="427">
        <v>300000</v>
      </c>
      <c r="S45" s="424">
        <f t="shared" si="13"/>
        <v>40</v>
      </c>
      <c r="T45" s="424">
        <f t="shared" si="13"/>
        <v>23155000</v>
      </c>
      <c r="U45" s="428">
        <f>IFERROR(S45/I45,0)</f>
        <v>0.72727272727272729</v>
      </c>
      <c r="V45" s="428">
        <f t="shared" si="0"/>
        <v>0.7044315391112681</v>
      </c>
      <c r="W45" s="423">
        <f t="shared" si="14"/>
        <v>40</v>
      </c>
      <c r="X45" s="424">
        <f t="shared" si="14"/>
        <v>23155000</v>
      </c>
      <c r="Y45" s="429">
        <f t="shared" si="15"/>
        <v>0</v>
      </c>
      <c r="Z45" s="430">
        <f t="shared" si="15"/>
        <v>0</v>
      </c>
      <c r="AA45" s="431"/>
      <c r="AB45" s="378"/>
      <c r="AE45" s="347"/>
      <c r="AF45" s="347"/>
      <c r="AG45" s="347"/>
    </row>
    <row r="46" spans="1:33" s="346" customFormat="1" ht="87.6" customHeight="1" x14ac:dyDescent="0.3">
      <c r="A46" s="379"/>
      <c r="B46" s="380"/>
      <c r="C46" s="432" t="s">
        <v>365</v>
      </c>
      <c r="D46" s="433" t="s">
        <v>366</v>
      </c>
      <c r="E46" s="423">
        <v>0</v>
      </c>
      <c r="F46" s="424">
        <v>0</v>
      </c>
      <c r="G46" s="423">
        <v>0</v>
      </c>
      <c r="H46" s="424">
        <v>0</v>
      </c>
      <c r="I46" s="457">
        <v>3</v>
      </c>
      <c r="J46" s="424">
        <v>5000000</v>
      </c>
      <c r="K46" s="426">
        <v>0</v>
      </c>
      <c r="L46" s="427">
        <v>0</v>
      </c>
      <c r="M46" s="427">
        <v>0</v>
      </c>
      <c r="N46" s="427">
        <v>0</v>
      </c>
      <c r="O46" s="427">
        <v>0</v>
      </c>
      <c r="P46" s="427">
        <v>0</v>
      </c>
      <c r="Q46" s="427">
        <v>0</v>
      </c>
      <c r="R46" s="427">
        <v>0</v>
      </c>
      <c r="S46" s="424">
        <f t="shared" si="13"/>
        <v>0</v>
      </c>
      <c r="T46" s="424">
        <f t="shared" si="13"/>
        <v>0</v>
      </c>
      <c r="U46" s="428">
        <f>IFERROR(S46/I46,0)</f>
        <v>0</v>
      </c>
      <c r="V46" s="428">
        <f t="shared" si="0"/>
        <v>0</v>
      </c>
      <c r="W46" s="423">
        <f t="shared" si="14"/>
        <v>0</v>
      </c>
      <c r="X46" s="424">
        <f t="shared" si="14"/>
        <v>0</v>
      </c>
      <c r="Y46" s="429">
        <f t="shared" si="15"/>
        <v>0</v>
      </c>
      <c r="Z46" s="430">
        <f t="shared" si="15"/>
        <v>0</v>
      </c>
      <c r="AA46" s="431"/>
      <c r="AB46" s="378"/>
      <c r="AE46" s="347"/>
      <c r="AF46" s="347"/>
      <c r="AG46" s="347"/>
    </row>
    <row r="47" spans="1:33" s="346" customFormat="1" ht="62.45" customHeight="1" x14ac:dyDescent="0.3">
      <c r="A47" s="405"/>
      <c r="B47" s="406"/>
      <c r="C47" s="407" t="s">
        <v>211</v>
      </c>
      <c r="D47" s="408"/>
      <c r="E47" s="409"/>
      <c r="F47" s="410"/>
      <c r="G47" s="409"/>
      <c r="H47" s="410"/>
      <c r="I47" s="458"/>
      <c r="J47" s="412">
        <f>J48+J49+J50+J51+J52+J53+J54</f>
        <v>4769000000</v>
      </c>
      <c r="K47" s="413"/>
      <c r="L47" s="414">
        <f>0+L48+L49+L50+L51+L52+L53+L54</f>
        <v>157137000</v>
      </c>
      <c r="M47" s="413"/>
      <c r="N47" s="414">
        <f>0+N48+N49+N50+N51+N52+N53+N54</f>
        <v>1272168330</v>
      </c>
      <c r="O47" s="413"/>
      <c r="P47" s="414">
        <f>0+P48+P49+P50+P51+P52+P53+P54</f>
        <v>958959061</v>
      </c>
      <c r="Q47" s="413"/>
      <c r="R47" s="414">
        <f>0+R48+R49+R50+R51+R52+R53+R54</f>
        <v>456234800</v>
      </c>
      <c r="S47" s="412"/>
      <c r="T47" s="412">
        <f>0+T48+T49+T50+T51+T52+T53+T54</f>
        <v>2844499191</v>
      </c>
      <c r="U47" s="416"/>
      <c r="V47" s="416">
        <f t="shared" si="0"/>
        <v>0.59645611050534708</v>
      </c>
      <c r="W47" s="417"/>
      <c r="X47" s="412">
        <f>0+X48+X49+X50+X51+X52+X53+X54</f>
        <v>2844499191</v>
      </c>
      <c r="Y47" s="418"/>
      <c r="Z47" s="419" t="e">
        <f>0+Z48+Z49+Z50+Z51+#REF!+Z52</f>
        <v>#REF!</v>
      </c>
      <c r="AA47" s="420"/>
      <c r="AB47" s="378"/>
      <c r="AE47" s="347"/>
      <c r="AF47" s="347"/>
      <c r="AG47" s="347"/>
    </row>
    <row r="48" spans="1:33" s="346" customFormat="1" ht="39.950000000000003" customHeight="1" x14ac:dyDescent="0.3">
      <c r="A48" s="379"/>
      <c r="B48" s="380"/>
      <c r="C48" s="459" t="s">
        <v>212</v>
      </c>
      <c r="D48" s="460" t="s">
        <v>213</v>
      </c>
      <c r="E48" s="423">
        <v>0</v>
      </c>
      <c r="F48" s="424">
        <v>0</v>
      </c>
      <c r="G48" s="423">
        <v>0</v>
      </c>
      <c r="H48" s="461">
        <v>0</v>
      </c>
      <c r="I48" s="462">
        <v>4</v>
      </c>
      <c r="J48" s="434">
        <v>776201020</v>
      </c>
      <c r="K48" s="426">
        <v>0</v>
      </c>
      <c r="L48" s="434">
        <v>10800000</v>
      </c>
      <c r="M48" s="427">
        <v>0</v>
      </c>
      <c r="N48" s="427">
        <v>236350000</v>
      </c>
      <c r="O48" s="427">
        <v>2</v>
      </c>
      <c r="P48" s="427">
        <v>163917000</v>
      </c>
      <c r="Q48" s="427">
        <v>1</v>
      </c>
      <c r="R48" s="427">
        <v>43200000</v>
      </c>
      <c r="S48" s="424">
        <f t="shared" ref="S48:T52" si="16">SUM(K48,M48,O48,Q48)</f>
        <v>3</v>
      </c>
      <c r="T48" s="424">
        <f t="shared" si="16"/>
        <v>454267000</v>
      </c>
      <c r="U48" s="428">
        <f t="shared" ref="U48:U54" si="17">IFERROR(S48/I48,0)</f>
        <v>0.75</v>
      </c>
      <c r="V48" s="428">
        <f t="shared" si="0"/>
        <v>0.58524401320678499</v>
      </c>
      <c r="W48" s="423">
        <f t="shared" ref="W48:X52" si="18">S48+G48</f>
        <v>3</v>
      </c>
      <c r="X48" s="424">
        <f t="shared" si="18"/>
        <v>454267000</v>
      </c>
      <c r="Y48" s="429">
        <f t="shared" ref="Y48:Z52" si="19">IFERROR(W48/E48,0)</f>
        <v>0</v>
      </c>
      <c r="Z48" s="430">
        <f t="shared" si="19"/>
        <v>0</v>
      </c>
      <c r="AA48" s="431"/>
      <c r="AB48" s="378"/>
      <c r="AE48" s="347"/>
      <c r="AF48" s="347"/>
      <c r="AG48" s="347"/>
    </row>
    <row r="49" spans="1:33" s="346" customFormat="1" ht="35.1" customHeight="1" x14ac:dyDescent="0.3">
      <c r="A49" s="379"/>
      <c r="B49" s="380"/>
      <c r="C49" s="459" t="s">
        <v>82</v>
      </c>
      <c r="D49" s="460" t="s">
        <v>215</v>
      </c>
      <c r="E49" s="423">
        <v>0</v>
      </c>
      <c r="F49" s="424">
        <v>0</v>
      </c>
      <c r="G49" s="423">
        <v>0</v>
      </c>
      <c r="H49" s="461">
        <v>0</v>
      </c>
      <c r="I49" s="463">
        <v>2</v>
      </c>
      <c r="J49" s="434">
        <v>630386800</v>
      </c>
      <c r="K49" s="426">
        <v>0</v>
      </c>
      <c r="L49" s="434">
        <v>0</v>
      </c>
      <c r="M49" s="427">
        <v>0</v>
      </c>
      <c r="N49" s="427">
        <v>36250000</v>
      </c>
      <c r="O49" s="427">
        <v>1</v>
      </c>
      <c r="P49" s="427">
        <v>85200446</v>
      </c>
      <c r="Q49" s="427">
        <v>2</v>
      </c>
      <c r="R49" s="427">
        <v>211836800</v>
      </c>
      <c r="S49" s="424">
        <f t="shared" si="16"/>
        <v>3</v>
      </c>
      <c r="T49" s="424">
        <f t="shared" si="16"/>
        <v>333287246</v>
      </c>
      <c r="U49" s="428">
        <f t="shared" si="17"/>
        <v>1.5</v>
      </c>
      <c r="V49" s="428">
        <f t="shared" si="0"/>
        <v>0.52870276788790627</v>
      </c>
      <c r="W49" s="423">
        <f t="shared" si="18"/>
        <v>3</v>
      </c>
      <c r="X49" s="424">
        <f t="shared" si="18"/>
        <v>333287246</v>
      </c>
      <c r="Y49" s="429">
        <f t="shared" si="19"/>
        <v>0</v>
      </c>
      <c r="Z49" s="430">
        <f t="shared" si="19"/>
        <v>0</v>
      </c>
      <c r="AA49" s="431"/>
      <c r="AB49" s="378"/>
      <c r="AE49" s="347"/>
      <c r="AF49" s="347"/>
      <c r="AG49" s="347"/>
    </row>
    <row r="50" spans="1:33" s="346" customFormat="1" ht="35.450000000000003" customHeight="1" x14ac:dyDescent="0.3">
      <c r="A50" s="379"/>
      <c r="B50" s="380"/>
      <c r="C50" s="459" t="s">
        <v>84</v>
      </c>
      <c r="D50" s="460" t="s">
        <v>217</v>
      </c>
      <c r="E50" s="423">
        <v>0</v>
      </c>
      <c r="F50" s="424">
        <v>0</v>
      </c>
      <c r="G50" s="423">
        <v>0</v>
      </c>
      <c r="H50" s="461">
        <v>0</v>
      </c>
      <c r="I50" s="464">
        <v>1</v>
      </c>
      <c r="J50" s="434">
        <v>251360900</v>
      </c>
      <c r="K50" s="426">
        <v>0</v>
      </c>
      <c r="L50" s="434">
        <v>2000000</v>
      </c>
      <c r="M50" s="427">
        <v>0</v>
      </c>
      <c r="N50" s="427">
        <v>29064230</v>
      </c>
      <c r="O50" s="427">
        <v>0</v>
      </c>
      <c r="P50" s="427">
        <v>78664400</v>
      </c>
      <c r="Q50" s="427">
        <v>1</v>
      </c>
      <c r="R50" s="427">
        <v>15148000</v>
      </c>
      <c r="S50" s="424">
        <f t="shared" si="16"/>
        <v>1</v>
      </c>
      <c r="T50" s="424">
        <f t="shared" si="16"/>
        <v>124876630</v>
      </c>
      <c r="U50" s="428">
        <f t="shared" si="17"/>
        <v>1</v>
      </c>
      <c r="V50" s="428">
        <f t="shared" si="0"/>
        <v>0.49680212793636558</v>
      </c>
      <c r="W50" s="423">
        <f t="shared" si="18"/>
        <v>1</v>
      </c>
      <c r="X50" s="424">
        <f t="shared" si="18"/>
        <v>124876630</v>
      </c>
      <c r="Y50" s="429">
        <f t="shared" si="19"/>
        <v>0</v>
      </c>
      <c r="Z50" s="430">
        <f t="shared" si="19"/>
        <v>0</v>
      </c>
      <c r="AA50" s="431"/>
      <c r="AB50" s="378"/>
      <c r="AE50" s="347"/>
      <c r="AF50" s="347"/>
      <c r="AG50" s="347"/>
    </row>
    <row r="51" spans="1:33" s="346" customFormat="1" ht="51" x14ac:dyDescent="0.3">
      <c r="A51" s="379"/>
      <c r="B51" s="380"/>
      <c r="C51" s="459" t="s">
        <v>222</v>
      </c>
      <c r="D51" s="460" t="s">
        <v>223</v>
      </c>
      <c r="E51" s="423">
        <v>0</v>
      </c>
      <c r="F51" s="424">
        <v>0</v>
      </c>
      <c r="G51" s="423">
        <v>0</v>
      </c>
      <c r="H51" s="461">
        <v>0</v>
      </c>
      <c r="I51" s="463">
        <v>4</v>
      </c>
      <c r="J51" s="434">
        <v>2328219860</v>
      </c>
      <c r="K51" s="426">
        <v>1</v>
      </c>
      <c r="L51" s="434">
        <v>144337000</v>
      </c>
      <c r="M51" s="427">
        <v>0</v>
      </c>
      <c r="N51" s="427">
        <v>791735000</v>
      </c>
      <c r="O51" s="427">
        <v>2</v>
      </c>
      <c r="P51" s="427">
        <v>452757993</v>
      </c>
      <c r="Q51" s="427">
        <v>1</v>
      </c>
      <c r="R51" s="427">
        <v>60300000</v>
      </c>
      <c r="S51" s="424">
        <f t="shared" si="16"/>
        <v>4</v>
      </c>
      <c r="T51" s="424">
        <f t="shared" si="16"/>
        <v>1449129993</v>
      </c>
      <c r="U51" s="428">
        <f t="shared" si="17"/>
        <v>1</v>
      </c>
      <c r="V51" s="428">
        <f t="shared" si="0"/>
        <v>0.62241973702603848</v>
      </c>
      <c r="W51" s="423">
        <f t="shared" si="18"/>
        <v>4</v>
      </c>
      <c r="X51" s="424">
        <f t="shared" si="18"/>
        <v>1449129993</v>
      </c>
      <c r="Y51" s="429">
        <f t="shared" si="19"/>
        <v>0</v>
      </c>
      <c r="Z51" s="430">
        <f t="shared" si="19"/>
        <v>0</v>
      </c>
      <c r="AA51" s="431"/>
      <c r="AB51" s="378"/>
      <c r="AE51" s="347"/>
      <c r="AF51" s="347"/>
      <c r="AG51" s="347"/>
    </row>
    <row r="52" spans="1:33" s="346" customFormat="1" ht="38.25" x14ac:dyDescent="0.3">
      <c r="A52" s="379"/>
      <c r="B52" s="380"/>
      <c r="C52" s="459" t="s">
        <v>225</v>
      </c>
      <c r="D52" s="460" t="s">
        <v>226</v>
      </c>
      <c r="E52" s="423">
        <v>0</v>
      </c>
      <c r="F52" s="424">
        <v>0</v>
      </c>
      <c r="G52" s="423">
        <v>0</v>
      </c>
      <c r="H52" s="461">
        <v>0</v>
      </c>
      <c r="I52" s="463">
        <v>9</v>
      </c>
      <c r="J52" s="434">
        <v>235122220</v>
      </c>
      <c r="K52" s="426">
        <v>0</v>
      </c>
      <c r="L52" s="434">
        <v>0</v>
      </c>
      <c r="M52" s="427">
        <v>0</v>
      </c>
      <c r="N52" s="427">
        <v>38969100</v>
      </c>
      <c r="O52" s="427">
        <v>4</v>
      </c>
      <c r="P52" s="427">
        <v>105383247</v>
      </c>
      <c r="Q52" s="427">
        <v>0</v>
      </c>
      <c r="R52" s="427">
        <v>2000000</v>
      </c>
      <c r="S52" s="424">
        <f t="shared" si="16"/>
        <v>4</v>
      </c>
      <c r="T52" s="424">
        <f t="shared" si="16"/>
        <v>146352347</v>
      </c>
      <c r="U52" s="428">
        <f t="shared" si="17"/>
        <v>0.44444444444444442</v>
      </c>
      <c r="V52" s="428">
        <f t="shared" si="0"/>
        <v>0.62245221655358651</v>
      </c>
      <c r="W52" s="423">
        <f t="shared" si="18"/>
        <v>4</v>
      </c>
      <c r="X52" s="424">
        <f t="shared" si="18"/>
        <v>146352347</v>
      </c>
      <c r="Y52" s="429">
        <f t="shared" si="19"/>
        <v>0</v>
      </c>
      <c r="Z52" s="430">
        <f t="shared" si="19"/>
        <v>0</v>
      </c>
      <c r="AA52" s="431"/>
      <c r="AB52" s="378"/>
      <c r="AE52" s="347"/>
      <c r="AF52" s="347"/>
      <c r="AG52" s="347"/>
    </row>
    <row r="53" spans="1:33" s="346" customFormat="1" ht="51" x14ac:dyDescent="0.3">
      <c r="A53" s="379"/>
      <c r="B53" s="380"/>
      <c r="C53" s="459" t="s">
        <v>228</v>
      </c>
      <c r="D53" s="460" t="s">
        <v>229</v>
      </c>
      <c r="E53" s="423">
        <v>0</v>
      </c>
      <c r="F53" s="424">
        <v>0</v>
      </c>
      <c r="G53" s="423">
        <v>0</v>
      </c>
      <c r="H53" s="461">
        <v>0</v>
      </c>
      <c r="I53" s="463">
        <v>2</v>
      </c>
      <c r="J53" s="434">
        <v>58006000</v>
      </c>
      <c r="K53" s="426">
        <v>0</v>
      </c>
      <c r="L53" s="434">
        <v>0</v>
      </c>
      <c r="M53" s="427">
        <v>0</v>
      </c>
      <c r="N53" s="427">
        <v>6200000</v>
      </c>
      <c r="O53" s="427">
        <v>1</v>
      </c>
      <c r="P53" s="427">
        <v>46995975</v>
      </c>
      <c r="Q53" s="427">
        <v>0</v>
      </c>
      <c r="R53" s="427">
        <v>0</v>
      </c>
      <c r="S53" s="424">
        <f>SUM(K53,M53,O53,Q53)</f>
        <v>1</v>
      </c>
      <c r="T53" s="424">
        <f>SUM(L53,N53,P53,R53)</f>
        <v>53195975</v>
      </c>
      <c r="U53" s="428">
        <f t="shared" si="17"/>
        <v>0.5</v>
      </c>
      <c r="V53" s="428">
        <f t="shared" si="0"/>
        <v>0.91707711271247805</v>
      </c>
      <c r="W53" s="423">
        <f>S53+G53</f>
        <v>1</v>
      </c>
      <c r="X53" s="424">
        <f>T53+H53</f>
        <v>53195975</v>
      </c>
      <c r="Y53" s="429">
        <f>IFERROR(W53/E53,0)</f>
        <v>0</v>
      </c>
      <c r="Z53" s="430">
        <f>IFERROR(X53/F53,0)</f>
        <v>0</v>
      </c>
      <c r="AA53" s="431"/>
      <c r="AB53" s="378"/>
      <c r="AE53" s="347"/>
      <c r="AF53" s="347"/>
      <c r="AG53" s="347"/>
    </row>
    <row r="54" spans="1:33" s="346" customFormat="1" ht="85.5" customHeight="1" x14ac:dyDescent="0.3">
      <c r="A54" s="379"/>
      <c r="B54" s="380"/>
      <c r="C54" s="459" t="s">
        <v>231</v>
      </c>
      <c r="D54" s="460" t="s">
        <v>367</v>
      </c>
      <c r="E54" s="423">
        <v>0</v>
      </c>
      <c r="F54" s="424">
        <v>0</v>
      </c>
      <c r="G54" s="423">
        <v>0</v>
      </c>
      <c r="H54" s="461">
        <v>0</v>
      </c>
      <c r="I54" s="465">
        <v>5</v>
      </c>
      <c r="J54" s="434">
        <v>489703200</v>
      </c>
      <c r="K54" s="426">
        <v>0</v>
      </c>
      <c r="L54" s="434">
        <v>0</v>
      </c>
      <c r="M54" s="427">
        <v>0</v>
      </c>
      <c r="N54" s="427">
        <v>133600000</v>
      </c>
      <c r="O54" s="427">
        <v>3</v>
      </c>
      <c r="P54" s="427">
        <v>26040000</v>
      </c>
      <c r="Q54" s="427">
        <v>1</v>
      </c>
      <c r="R54" s="427">
        <v>123750000</v>
      </c>
      <c r="S54" s="424">
        <f>SUM(K54,M54,O54,Q54)</f>
        <v>4</v>
      </c>
      <c r="T54" s="424">
        <f>SUM(L54,N54,P54,R54)</f>
        <v>283390000</v>
      </c>
      <c r="U54" s="428">
        <f t="shared" si="17"/>
        <v>0.8</v>
      </c>
      <c r="V54" s="428">
        <f t="shared" si="0"/>
        <v>0.57869746409662015</v>
      </c>
      <c r="W54" s="423">
        <f>S54+G54</f>
        <v>4</v>
      </c>
      <c r="X54" s="424">
        <f>T54+H54</f>
        <v>283390000</v>
      </c>
      <c r="Y54" s="429">
        <f>IFERROR(W54/E54,0)</f>
        <v>0</v>
      </c>
      <c r="Z54" s="430">
        <f>IFERROR(X54/F54,0)</f>
        <v>0</v>
      </c>
      <c r="AA54" s="431"/>
      <c r="AB54" s="378"/>
      <c r="AE54" s="347"/>
      <c r="AF54" s="347"/>
      <c r="AG54" s="347"/>
    </row>
    <row r="55" spans="1:33" s="346" customFormat="1" ht="89.25" x14ac:dyDescent="0.3">
      <c r="A55" s="405"/>
      <c r="B55" s="406"/>
      <c r="C55" s="407" t="s">
        <v>233</v>
      </c>
      <c r="D55" s="408"/>
      <c r="E55" s="409"/>
      <c r="F55" s="410"/>
      <c r="G55" s="409"/>
      <c r="H55" s="410"/>
      <c r="I55" s="458"/>
      <c r="J55" s="412">
        <f>J56+J57</f>
        <v>5192814108</v>
      </c>
      <c r="K55" s="413"/>
      <c r="L55" s="414">
        <f>0+L56+L57</f>
        <v>658137260</v>
      </c>
      <c r="M55" s="413"/>
      <c r="N55" s="414">
        <f>0+N56+N57</f>
        <v>1588801972</v>
      </c>
      <c r="O55" s="413"/>
      <c r="P55" s="414">
        <f>0+P56+P57</f>
        <v>929494308</v>
      </c>
      <c r="Q55" s="413"/>
      <c r="R55" s="414">
        <f>0+R56+R57</f>
        <v>389417482</v>
      </c>
      <c r="S55" s="412"/>
      <c r="T55" s="412">
        <f>0+T56+T57</f>
        <v>3565851022</v>
      </c>
      <c r="U55" s="416"/>
      <c r="V55" s="416">
        <f t="shared" si="0"/>
        <v>0.68668951898479935</v>
      </c>
      <c r="W55" s="417"/>
      <c r="X55" s="412">
        <f>0+X56+X57</f>
        <v>3565851022</v>
      </c>
      <c r="Y55" s="418"/>
      <c r="Z55" s="419" t="e">
        <f>0+Z56+Z57+#REF!+#REF!+#REF!+#REF!</f>
        <v>#REF!</v>
      </c>
      <c r="AA55" s="420"/>
      <c r="AB55" s="378"/>
      <c r="AE55" s="347"/>
      <c r="AF55" s="347"/>
      <c r="AG55" s="347"/>
    </row>
    <row r="56" spans="1:33" s="346" customFormat="1" ht="76.5" x14ac:dyDescent="0.3">
      <c r="A56" s="379"/>
      <c r="B56" s="380"/>
      <c r="C56" s="459" t="s">
        <v>234</v>
      </c>
      <c r="D56" s="460" t="s">
        <v>235</v>
      </c>
      <c r="E56" s="423">
        <v>0</v>
      </c>
      <c r="F56" s="424">
        <v>0</v>
      </c>
      <c r="G56" s="423">
        <v>0</v>
      </c>
      <c r="H56" s="461">
        <v>0</v>
      </c>
      <c r="I56" s="462">
        <v>7</v>
      </c>
      <c r="J56" s="434">
        <v>38725600</v>
      </c>
      <c r="K56" s="426">
        <v>0</v>
      </c>
      <c r="L56" s="434">
        <v>2250000</v>
      </c>
      <c r="M56" s="427">
        <v>3</v>
      </c>
      <c r="N56" s="427">
        <v>28810000</v>
      </c>
      <c r="O56" s="427">
        <v>0</v>
      </c>
      <c r="P56" s="427">
        <v>0</v>
      </c>
      <c r="Q56" s="427">
        <v>3</v>
      </c>
      <c r="R56" s="427">
        <v>5290000</v>
      </c>
      <c r="S56" s="424">
        <f>SUM(K56,M56,O56,Q56)</f>
        <v>6</v>
      </c>
      <c r="T56" s="424">
        <f>SUM(L56,N56,P56,R56)</f>
        <v>36350000</v>
      </c>
      <c r="U56" s="428">
        <f>IFERROR(S56/I56,0)</f>
        <v>0.8571428571428571</v>
      </c>
      <c r="V56" s="428">
        <f t="shared" si="0"/>
        <v>0.93865556634371061</v>
      </c>
      <c r="W56" s="423">
        <f>S56+G56</f>
        <v>6</v>
      </c>
      <c r="X56" s="424">
        <f>T56+H56</f>
        <v>36350000</v>
      </c>
      <c r="Y56" s="429">
        <f>IFERROR(W56/E56,0)</f>
        <v>0</v>
      </c>
      <c r="Z56" s="430">
        <f>IFERROR(X56/F56,0)</f>
        <v>0</v>
      </c>
      <c r="AA56" s="431"/>
      <c r="AB56" s="378"/>
      <c r="AE56" s="347"/>
      <c r="AF56" s="347"/>
      <c r="AG56" s="347"/>
    </row>
    <row r="57" spans="1:33" s="346" customFormat="1" ht="63.75" x14ac:dyDescent="0.3">
      <c r="A57" s="379"/>
      <c r="B57" s="380"/>
      <c r="C57" s="459" t="s">
        <v>237</v>
      </c>
      <c r="D57" s="460" t="s">
        <v>238</v>
      </c>
      <c r="E57" s="423">
        <v>0</v>
      </c>
      <c r="F57" s="424">
        <v>0</v>
      </c>
      <c r="G57" s="423">
        <v>0</v>
      </c>
      <c r="H57" s="461">
        <v>0</v>
      </c>
      <c r="I57" s="463">
        <v>99</v>
      </c>
      <c r="J57" s="434">
        <v>5154088508</v>
      </c>
      <c r="K57" s="426">
        <v>30</v>
      </c>
      <c r="L57" s="434">
        <v>655887260</v>
      </c>
      <c r="M57" s="427">
        <v>20</v>
      </c>
      <c r="N57" s="427">
        <v>1559991972</v>
      </c>
      <c r="O57" s="427">
        <v>10</v>
      </c>
      <c r="P57" s="427">
        <v>929494308</v>
      </c>
      <c r="Q57" s="427">
        <v>161</v>
      </c>
      <c r="R57" s="427">
        <v>384127482</v>
      </c>
      <c r="S57" s="424">
        <f>SUM(K57,M57,O57,Q57)</f>
        <v>221</v>
      </c>
      <c r="T57" s="424">
        <f>SUM(L57,N57,P57,R57)</f>
        <v>3529501022</v>
      </c>
      <c r="U57" s="428">
        <f>IFERROR(S57/I57,0)</f>
        <v>2.2323232323232323</v>
      </c>
      <c r="V57" s="428">
        <f t="shared" si="0"/>
        <v>0.68479635468456335</v>
      </c>
      <c r="W57" s="423">
        <f>S57+G57</f>
        <v>221</v>
      </c>
      <c r="X57" s="424">
        <f>T57+H57</f>
        <v>3529501022</v>
      </c>
      <c r="Y57" s="429">
        <f>IFERROR(W57/E57,0)</f>
        <v>0</v>
      </c>
      <c r="Z57" s="430">
        <f>IFERROR(X57/F57,0)</f>
        <v>0</v>
      </c>
      <c r="AA57" s="431"/>
      <c r="AB57" s="378"/>
      <c r="AE57" s="347"/>
      <c r="AF57" s="347"/>
      <c r="AG57" s="347"/>
    </row>
    <row r="58" spans="1:33" s="346" customFormat="1" ht="51" x14ac:dyDescent="0.3">
      <c r="A58" s="405"/>
      <c r="B58" s="406"/>
      <c r="C58" s="407" t="s">
        <v>240</v>
      </c>
      <c r="D58" s="408"/>
      <c r="E58" s="409"/>
      <c r="F58" s="410"/>
      <c r="G58" s="409"/>
      <c r="H58" s="410"/>
      <c r="I58" s="458"/>
      <c r="J58" s="412">
        <f>J59+J60+J61+J62+J63</f>
        <v>966583248</v>
      </c>
      <c r="K58" s="413"/>
      <c r="L58" s="414">
        <f>0+L59+L60+L61+L62+L63</f>
        <v>156887190</v>
      </c>
      <c r="M58" s="413"/>
      <c r="N58" s="414">
        <f>0+N59+N60+N61+N62+N63</f>
        <v>158144122</v>
      </c>
      <c r="O58" s="413"/>
      <c r="P58" s="414">
        <f>0+P59+P60+P61+P62+P63</f>
        <v>214700323</v>
      </c>
      <c r="Q58" s="413"/>
      <c r="R58" s="414">
        <f>0+R59+R60+R61+R62+R63</f>
        <v>122084000</v>
      </c>
      <c r="S58" s="412"/>
      <c r="T58" s="412">
        <f>0+T59+T60+T61+T62+T63</f>
        <v>651815635</v>
      </c>
      <c r="U58" s="416"/>
      <c r="V58" s="416">
        <f t="shared" si="0"/>
        <v>0.67435022937620781</v>
      </c>
      <c r="W58" s="417"/>
      <c r="X58" s="412">
        <f>0+X59+X60+X61+X62+X63</f>
        <v>651815635</v>
      </c>
      <c r="Y58" s="418"/>
      <c r="Z58" s="419" t="e">
        <f>0+Z59+Z60+Z61+Z62+#REF!+Z63</f>
        <v>#REF!</v>
      </c>
      <c r="AA58" s="420"/>
      <c r="AB58" s="378"/>
      <c r="AE58" s="347"/>
      <c r="AF58" s="347"/>
      <c r="AG58" s="347"/>
    </row>
    <row r="59" spans="1:33" s="346" customFormat="1" ht="51" x14ac:dyDescent="0.3">
      <c r="A59" s="379"/>
      <c r="B59" s="380"/>
      <c r="C59" s="459" t="s">
        <v>246</v>
      </c>
      <c r="D59" s="460" t="s">
        <v>247</v>
      </c>
      <c r="E59" s="423">
        <v>0</v>
      </c>
      <c r="F59" s="424">
        <v>0</v>
      </c>
      <c r="G59" s="423">
        <v>0</v>
      </c>
      <c r="H59" s="461">
        <v>0</v>
      </c>
      <c r="I59" s="425">
        <v>1</v>
      </c>
      <c r="J59" s="434">
        <v>233149048</v>
      </c>
      <c r="K59" s="426">
        <v>0</v>
      </c>
      <c r="L59" s="434">
        <v>42778000</v>
      </c>
      <c r="M59" s="427">
        <v>0</v>
      </c>
      <c r="N59" s="427">
        <v>16918637</v>
      </c>
      <c r="O59" s="427">
        <v>0</v>
      </c>
      <c r="P59" s="427">
        <v>27255598</v>
      </c>
      <c r="Q59" s="427">
        <v>1</v>
      </c>
      <c r="R59" s="427">
        <v>5374000</v>
      </c>
      <c r="S59" s="424">
        <f t="shared" ref="S59:T63" si="20">SUM(K59,M59,O59,Q59)</f>
        <v>1</v>
      </c>
      <c r="T59" s="424">
        <f t="shared" si="20"/>
        <v>92326235</v>
      </c>
      <c r="U59" s="428">
        <f>IFERROR(S59/I59,0)</f>
        <v>1</v>
      </c>
      <c r="V59" s="428">
        <f t="shared" si="0"/>
        <v>0.39599662015347364</v>
      </c>
      <c r="W59" s="423">
        <f t="shared" ref="W59:X63" si="21">S59+G59</f>
        <v>1</v>
      </c>
      <c r="X59" s="424">
        <f t="shared" si="21"/>
        <v>92326235</v>
      </c>
      <c r="Y59" s="429">
        <f t="shared" ref="Y59:Z63" si="22">IFERROR(W59/E59,0)</f>
        <v>0</v>
      </c>
      <c r="Z59" s="430">
        <f t="shared" si="22"/>
        <v>0</v>
      </c>
      <c r="AA59" s="431"/>
      <c r="AB59" s="378"/>
      <c r="AE59" s="347"/>
      <c r="AF59" s="347"/>
      <c r="AG59" s="347"/>
    </row>
    <row r="60" spans="1:33" s="346" customFormat="1" ht="63.75" x14ac:dyDescent="0.3">
      <c r="A60" s="379"/>
      <c r="B60" s="380"/>
      <c r="C60" s="459" t="s">
        <v>249</v>
      </c>
      <c r="D60" s="460" t="s">
        <v>250</v>
      </c>
      <c r="E60" s="423">
        <v>0</v>
      </c>
      <c r="F60" s="424">
        <v>0</v>
      </c>
      <c r="G60" s="423">
        <v>0</v>
      </c>
      <c r="H60" s="461">
        <v>0</v>
      </c>
      <c r="I60" s="425">
        <v>1</v>
      </c>
      <c r="J60" s="434">
        <v>36000000</v>
      </c>
      <c r="K60" s="426">
        <v>0</v>
      </c>
      <c r="L60" s="434">
        <v>9000000</v>
      </c>
      <c r="M60" s="427">
        <v>0</v>
      </c>
      <c r="N60" s="427">
        <v>9000000</v>
      </c>
      <c r="O60" s="427">
        <v>0</v>
      </c>
      <c r="P60" s="427">
        <v>9000000</v>
      </c>
      <c r="Q60" s="427">
        <v>1</v>
      </c>
      <c r="R60" s="427">
        <v>6000000</v>
      </c>
      <c r="S60" s="424">
        <f t="shared" si="20"/>
        <v>1</v>
      </c>
      <c r="T60" s="424">
        <f t="shared" si="20"/>
        <v>33000000</v>
      </c>
      <c r="U60" s="428">
        <f>IFERROR(S60/I60,0)</f>
        <v>1</v>
      </c>
      <c r="V60" s="428">
        <f t="shared" si="0"/>
        <v>0.91666666666666663</v>
      </c>
      <c r="W60" s="423">
        <f t="shared" si="21"/>
        <v>1</v>
      </c>
      <c r="X60" s="424">
        <f t="shared" si="21"/>
        <v>33000000</v>
      </c>
      <c r="Y60" s="429">
        <f t="shared" si="22"/>
        <v>0</v>
      </c>
      <c r="Z60" s="430">
        <f t="shared" si="22"/>
        <v>0</v>
      </c>
      <c r="AA60" s="431"/>
      <c r="AB60" s="378"/>
      <c r="AE60" s="347"/>
      <c r="AF60" s="347"/>
      <c r="AG60" s="347"/>
    </row>
    <row r="61" spans="1:33" s="346" customFormat="1" ht="48" customHeight="1" x14ac:dyDescent="0.3">
      <c r="A61" s="379"/>
      <c r="B61" s="380"/>
      <c r="C61" s="459" t="s">
        <v>254</v>
      </c>
      <c r="D61" s="460" t="s">
        <v>255</v>
      </c>
      <c r="E61" s="423">
        <v>0</v>
      </c>
      <c r="F61" s="424">
        <v>0</v>
      </c>
      <c r="G61" s="423">
        <v>0</v>
      </c>
      <c r="H61" s="461">
        <v>0</v>
      </c>
      <c r="I61" s="425">
        <v>2</v>
      </c>
      <c r="J61" s="434">
        <v>456090100</v>
      </c>
      <c r="K61" s="426">
        <v>2</v>
      </c>
      <c r="L61" s="434">
        <v>88230000</v>
      </c>
      <c r="M61" s="427">
        <v>0</v>
      </c>
      <c r="N61" s="427">
        <v>111840185</v>
      </c>
      <c r="O61" s="427">
        <v>0</v>
      </c>
      <c r="P61" s="427">
        <v>141712725</v>
      </c>
      <c r="Q61" s="427">
        <v>0</v>
      </c>
      <c r="R61" s="427">
        <v>60800000</v>
      </c>
      <c r="S61" s="424">
        <f t="shared" si="20"/>
        <v>2</v>
      </c>
      <c r="T61" s="424">
        <f t="shared" si="20"/>
        <v>402582910</v>
      </c>
      <c r="U61" s="428">
        <f>IFERROR(S61/I61,0)</f>
        <v>1</v>
      </c>
      <c r="V61" s="428">
        <f t="shared" si="0"/>
        <v>0.88268285148044212</v>
      </c>
      <c r="W61" s="423">
        <f t="shared" si="21"/>
        <v>2</v>
      </c>
      <c r="X61" s="424">
        <f t="shared" si="21"/>
        <v>402582910</v>
      </c>
      <c r="Y61" s="429">
        <f t="shared" si="22"/>
        <v>0</v>
      </c>
      <c r="Z61" s="430">
        <f t="shared" si="22"/>
        <v>0</v>
      </c>
      <c r="AA61" s="431"/>
      <c r="AB61" s="378"/>
      <c r="AE61" s="347"/>
      <c r="AF61" s="347"/>
      <c r="AG61" s="347"/>
    </row>
    <row r="62" spans="1:33" s="346" customFormat="1" ht="63.75" x14ac:dyDescent="0.3">
      <c r="A62" s="379"/>
      <c r="B62" s="380"/>
      <c r="C62" s="459" t="s">
        <v>257</v>
      </c>
      <c r="D62" s="460" t="s">
        <v>258</v>
      </c>
      <c r="E62" s="423">
        <v>0</v>
      </c>
      <c r="F62" s="424">
        <v>0</v>
      </c>
      <c r="G62" s="423">
        <v>0</v>
      </c>
      <c r="H62" s="461">
        <v>0</v>
      </c>
      <c r="I62" s="466">
        <v>5</v>
      </c>
      <c r="J62" s="434">
        <v>192471020</v>
      </c>
      <c r="K62" s="426">
        <v>0</v>
      </c>
      <c r="L62" s="434">
        <v>14459190</v>
      </c>
      <c r="M62" s="427">
        <v>2</v>
      </c>
      <c r="N62" s="427">
        <v>16045300</v>
      </c>
      <c r="O62" s="427">
        <v>1</v>
      </c>
      <c r="P62" s="427">
        <v>4972000</v>
      </c>
      <c r="Q62" s="427">
        <v>2</v>
      </c>
      <c r="R62" s="427">
        <v>49910000</v>
      </c>
      <c r="S62" s="424">
        <f t="shared" si="20"/>
        <v>5</v>
      </c>
      <c r="T62" s="424">
        <f t="shared" si="20"/>
        <v>85386490</v>
      </c>
      <c r="U62" s="428">
        <f>IFERROR(S62/I62,0)</f>
        <v>1</v>
      </c>
      <c r="V62" s="428">
        <f t="shared" si="0"/>
        <v>0.44363296874511288</v>
      </c>
      <c r="W62" s="423">
        <f t="shared" si="21"/>
        <v>5</v>
      </c>
      <c r="X62" s="424">
        <f t="shared" si="21"/>
        <v>85386490</v>
      </c>
      <c r="Y62" s="429">
        <f t="shared" si="22"/>
        <v>0</v>
      </c>
      <c r="Z62" s="430">
        <f t="shared" si="22"/>
        <v>0</v>
      </c>
      <c r="AA62" s="431"/>
      <c r="AB62" s="378"/>
      <c r="AE62" s="347"/>
      <c r="AF62" s="347"/>
      <c r="AG62" s="347"/>
    </row>
    <row r="63" spans="1:33" s="346" customFormat="1" ht="63.75" x14ac:dyDescent="0.3">
      <c r="A63" s="379"/>
      <c r="B63" s="380"/>
      <c r="C63" s="459" t="s">
        <v>325</v>
      </c>
      <c r="D63" s="460" t="s">
        <v>326</v>
      </c>
      <c r="E63" s="423">
        <v>0</v>
      </c>
      <c r="F63" s="424">
        <v>0</v>
      </c>
      <c r="G63" s="423">
        <v>0</v>
      </c>
      <c r="H63" s="461">
        <v>0</v>
      </c>
      <c r="I63" s="425">
        <v>1</v>
      </c>
      <c r="J63" s="434">
        <v>48873080</v>
      </c>
      <c r="K63" s="426">
        <v>0</v>
      </c>
      <c r="L63" s="434">
        <v>2420000</v>
      </c>
      <c r="M63" s="427">
        <v>0</v>
      </c>
      <c r="N63" s="427">
        <v>4340000</v>
      </c>
      <c r="O63" s="427">
        <v>0</v>
      </c>
      <c r="P63" s="427">
        <v>31760000</v>
      </c>
      <c r="Q63" s="427">
        <v>1</v>
      </c>
      <c r="R63" s="427">
        <v>0</v>
      </c>
      <c r="S63" s="424">
        <f t="shared" si="20"/>
        <v>1</v>
      </c>
      <c r="T63" s="424">
        <f t="shared" si="20"/>
        <v>38520000</v>
      </c>
      <c r="U63" s="428">
        <f>IFERROR(S63/I63,0)</f>
        <v>1</v>
      </c>
      <c r="V63" s="428">
        <f t="shared" si="0"/>
        <v>0.78816395447145959</v>
      </c>
      <c r="W63" s="423">
        <f t="shared" si="21"/>
        <v>1</v>
      </c>
      <c r="X63" s="424">
        <f t="shared" si="21"/>
        <v>38520000</v>
      </c>
      <c r="Y63" s="429">
        <f t="shared" si="22"/>
        <v>0</v>
      </c>
      <c r="Z63" s="430">
        <f t="shared" si="22"/>
        <v>0</v>
      </c>
      <c r="AA63" s="431"/>
      <c r="AB63" s="378"/>
      <c r="AE63" s="347"/>
      <c r="AF63" s="347"/>
      <c r="AG63" s="347"/>
    </row>
    <row r="64" spans="1:33" s="346" customFormat="1" ht="51" x14ac:dyDescent="0.3">
      <c r="A64" s="405"/>
      <c r="B64" s="406"/>
      <c r="C64" s="407" t="s">
        <v>261</v>
      </c>
      <c r="D64" s="408"/>
      <c r="E64" s="409"/>
      <c r="F64" s="410"/>
      <c r="G64" s="409"/>
      <c r="H64" s="410">
        <f>H65+H66</f>
        <v>0</v>
      </c>
      <c r="I64" s="458"/>
      <c r="J64" s="412">
        <f>J65+J66</f>
        <v>230300000</v>
      </c>
      <c r="K64" s="413"/>
      <c r="L64" s="414">
        <f>0+L65+L66</f>
        <v>58470000</v>
      </c>
      <c r="M64" s="413"/>
      <c r="N64" s="414">
        <f>0+N65+N66</f>
        <v>42505000</v>
      </c>
      <c r="O64" s="413"/>
      <c r="P64" s="414">
        <f>0+P65+P66</f>
        <v>56960000</v>
      </c>
      <c r="Q64" s="413"/>
      <c r="R64" s="414">
        <f>0+R65+R66</f>
        <v>2040000</v>
      </c>
      <c r="S64" s="412"/>
      <c r="T64" s="412">
        <f>0+T65+T66</f>
        <v>159975000</v>
      </c>
      <c r="U64" s="416"/>
      <c r="V64" s="416">
        <f t="shared" si="0"/>
        <v>0.69463742943986106</v>
      </c>
      <c r="W64" s="417"/>
      <c r="X64" s="412">
        <f>0+X65+X66</f>
        <v>159975000</v>
      </c>
      <c r="Y64" s="418"/>
      <c r="Z64" s="419" t="e">
        <f>0+Z65+Z66+#REF!+#REF!+#REF!+#REF!</f>
        <v>#REF!</v>
      </c>
      <c r="AA64" s="420"/>
      <c r="AB64" s="378"/>
      <c r="AE64" s="347"/>
      <c r="AF64" s="347"/>
      <c r="AG64" s="347"/>
    </row>
    <row r="65" spans="1:34" s="346" customFormat="1" ht="69" customHeight="1" x14ac:dyDescent="0.3">
      <c r="A65" s="379"/>
      <c r="B65" s="380"/>
      <c r="C65" s="459" t="s">
        <v>262</v>
      </c>
      <c r="D65" s="460" t="s">
        <v>263</v>
      </c>
      <c r="E65" s="423">
        <v>0</v>
      </c>
      <c r="F65" s="424">
        <v>0</v>
      </c>
      <c r="G65" s="423">
        <v>0</v>
      </c>
      <c r="H65" s="461">
        <v>0</v>
      </c>
      <c r="I65" s="462">
        <v>1500</v>
      </c>
      <c r="J65" s="434">
        <v>141907500</v>
      </c>
      <c r="K65" s="426">
        <v>150</v>
      </c>
      <c r="L65" s="434">
        <v>9520000</v>
      </c>
      <c r="M65" s="427">
        <v>450</v>
      </c>
      <c r="N65" s="427">
        <v>30225000</v>
      </c>
      <c r="O65" s="427">
        <v>100</v>
      </c>
      <c r="P65" s="427">
        <v>49730000</v>
      </c>
      <c r="Q65" s="427">
        <v>300</v>
      </c>
      <c r="R65" s="427">
        <v>2040000</v>
      </c>
      <c r="S65" s="424">
        <f>K65+M65+O65+Q65</f>
        <v>1000</v>
      </c>
      <c r="T65" s="424">
        <f>SUM(L65,N65,P65,R65)</f>
        <v>91515000</v>
      </c>
      <c r="U65" s="428">
        <f>IFERROR(S65/I65,0)</f>
        <v>0.66666666666666663</v>
      </c>
      <c r="V65" s="428">
        <f t="shared" si="0"/>
        <v>0.64489191903176368</v>
      </c>
      <c r="W65" s="423">
        <f>S65+G65</f>
        <v>1000</v>
      </c>
      <c r="X65" s="424">
        <f>T65+H65</f>
        <v>91515000</v>
      </c>
      <c r="Y65" s="429">
        <f>IFERROR(W65/E65,0)</f>
        <v>0</v>
      </c>
      <c r="Z65" s="430">
        <f>IFERROR(X65/F65,0)</f>
        <v>0</v>
      </c>
      <c r="AA65" s="431"/>
      <c r="AB65" s="378"/>
      <c r="AE65" s="347"/>
      <c r="AF65" s="347"/>
      <c r="AG65" s="347"/>
    </row>
    <row r="66" spans="1:34" s="346" customFormat="1" ht="38.25" x14ac:dyDescent="0.3">
      <c r="A66" s="379"/>
      <c r="B66" s="380"/>
      <c r="C66" s="459" t="s">
        <v>117</v>
      </c>
      <c r="D66" s="460" t="s">
        <v>263</v>
      </c>
      <c r="E66" s="423">
        <v>0</v>
      </c>
      <c r="F66" s="424">
        <v>0</v>
      </c>
      <c r="G66" s="423">
        <v>0</v>
      </c>
      <c r="H66" s="461">
        <v>0</v>
      </c>
      <c r="I66" s="463">
        <v>1</v>
      </c>
      <c r="J66" s="434">
        <v>88392500</v>
      </c>
      <c r="K66" s="426">
        <v>0</v>
      </c>
      <c r="L66" s="434">
        <v>48950000</v>
      </c>
      <c r="M66" s="427">
        <v>0</v>
      </c>
      <c r="N66" s="427">
        <v>12280000</v>
      </c>
      <c r="O66" s="427">
        <v>0</v>
      </c>
      <c r="P66" s="427">
        <v>7230000</v>
      </c>
      <c r="Q66" s="427">
        <v>0</v>
      </c>
      <c r="R66" s="427">
        <v>0</v>
      </c>
      <c r="S66" s="424">
        <f>SUM(K66,M66,O66,Q66)</f>
        <v>0</v>
      </c>
      <c r="T66" s="424">
        <f>SUM(L66,N66,P66,R66)</f>
        <v>68460000</v>
      </c>
      <c r="U66" s="428">
        <f>IFERROR(S66/I66,0)</f>
        <v>0</v>
      </c>
      <c r="V66" s="428">
        <f t="shared" si="0"/>
        <v>0.77450009899029892</v>
      </c>
      <c r="W66" s="423">
        <f>S66+G66</f>
        <v>0</v>
      </c>
      <c r="X66" s="424">
        <f>T66+H66</f>
        <v>68460000</v>
      </c>
      <c r="Y66" s="429">
        <f>IFERROR(W66/E66,0)</f>
        <v>0</v>
      </c>
      <c r="Z66" s="430">
        <f>IFERROR(X66/F66,0)</f>
        <v>0</v>
      </c>
      <c r="AA66" s="431"/>
      <c r="AB66" s="378"/>
      <c r="AE66" s="347"/>
      <c r="AF66" s="347"/>
      <c r="AG66" s="347"/>
    </row>
    <row r="67" spans="1:34" s="346" customFormat="1" ht="63.75" x14ac:dyDescent="0.3">
      <c r="A67" s="405"/>
      <c r="B67" s="406"/>
      <c r="C67" s="407" t="s">
        <v>268</v>
      </c>
      <c r="D67" s="408"/>
      <c r="E67" s="409"/>
      <c r="F67" s="410"/>
      <c r="G67" s="409"/>
      <c r="H67" s="410">
        <f>H68+H69</f>
        <v>0</v>
      </c>
      <c r="I67" s="458"/>
      <c r="J67" s="412">
        <f>J68+J69</f>
        <v>168720000</v>
      </c>
      <c r="K67" s="413"/>
      <c r="L67" s="414">
        <f>0+L68+L69</f>
        <v>19200000</v>
      </c>
      <c r="M67" s="413"/>
      <c r="N67" s="414">
        <f>0+N68+N69</f>
        <v>42902370</v>
      </c>
      <c r="O67" s="413"/>
      <c r="P67" s="414">
        <f>0+P68+P69</f>
        <v>73593000</v>
      </c>
      <c r="Q67" s="413"/>
      <c r="R67" s="413"/>
      <c r="S67" s="412"/>
      <c r="T67" s="412">
        <f>0+T68+T69</f>
        <v>139695370</v>
      </c>
      <c r="U67" s="416"/>
      <c r="V67" s="416">
        <f t="shared" si="0"/>
        <v>0.82797160976766238</v>
      </c>
      <c r="W67" s="417"/>
      <c r="X67" s="412">
        <f>0+X68+X69</f>
        <v>139695370</v>
      </c>
      <c r="Y67" s="418"/>
      <c r="Z67" s="419" t="e">
        <f>0+Z68+Z69+#REF!+#REF!+#REF!+#REF!</f>
        <v>#REF!</v>
      </c>
      <c r="AA67" s="420"/>
      <c r="AB67" s="378"/>
      <c r="AE67" s="347"/>
      <c r="AF67" s="347"/>
      <c r="AG67" s="347"/>
    </row>
    <row r="68" spans="1:34" s="346" customFormat="1" ht="73.5" customHeight="1" x14ac:dyDescent="0.3">
      <c r="A68" s="379"/>
      <c r="B68" s="380"/>
      <c r="C68" s="459" t="s">
        <v>368</v>
      </c>
      <c r="D68" s="460" t="s">
        <v>273</v>
      </c>
      <c r="E68" s="423">
        <v>0</v>
      </c>
      <c r="F68" s="424">
        <v>0</v>
      </c>
      <c r="G68" s="423">
        <v>0</v>
      </c>
      <c r="H68" s="461">
        <v>0</v>
      </c>
      <c r="I68" s="462">
        <v>15</v>
      </c>
      <c r="J68" s="434">
        <v>40500000</v>
      </c>
      <c r="K68" s="426">
        <v>0</v>
      </c>
      <c r="L68" s="434">
        <v>0</v>
      </c>
      <c r="M68" s="427">
        <v>5</v>
      </c>
      <c r="N68" s="427">
        <v>22050686</v>
      </c>
      <c r="O68" s="427">
        <v>0</v>
      </c>
      <c r="P68" s="427">
        <v>0</v>
      </c>
      <c r="Q68" s="427">
        <v>10</v>
      </c>
      <c r="R68" s="427">
        <v>0</v>
      </c>
      <c r="S68" s="424">
        <v>15</v>
      </c>
      <c r="T68" s="424">
        <f>SUM(L68,N68,P68,R68)</f>
        <v>22050686</v>
      </c>
      <c r="U68" s="428">
        <f>IFERROR(S68/I68,0)</f>
        <v>1</v>
      </c>
      <c r="V68" s="428">
        <f t="shared" si="0"/>
        <v>0.54446138271604938</v>
      </c>
      <c r="W68" s="423">
        <f>S68+G68</f>
        <v>15</v>
      </c>
      <c r="X68" s="424">
        <f>T68+H68</f>
        <v>22050686</v>
      </c>
      <c r="Y68" s="429">
        <f>IFERROR(W68/E68,0)</f>
        <v>0</v>
      </c>
      <c r="Z68" s="430">
        <f>IFERROR(X68/F68,0)</f>
        <v>0</v>
      </c>
      <c r="AA68" s="431"/>
      <c r="AB68" s="378"/>
      <c r="AE68" s="347"/>
      <c r="AF68" s="347"/>
      <c r="AG68" s="347"/>
    </row>
    <row r="69" spans="1:34" s="346" customFormat="1" ht="51" x14ac:dyDescent="0.3">
      <c r="A69" s="379"/>
      <c r="B69" s="380"/>
      <c r="C69" s="459" t="s">
        <v>369</v>
      </c>
      <c r="D69" s="460" t="s">
        <v>273</v>
      </c>
      <c r="E69" s="423">
        <v>0</v>
      </c>
      <c r="F69" s="424">
        <v>0</v>
      </c>
      <c r="G69" s="423">
        <v>0</v>
      </c>
      <c r="H69" s="461">
        <v>0</v>
      </c>
      <c r="I69" s="463">
        <v>37</v>
      </c>
      <c r="J69" s="434">
        <v>128220000</v>
      </c>
      <c r="K69" s="426">
        <v>10</v>
      </c>
      <c r="L69" s="434">
        <v>19200000</v>
      </c>
      <c r="M69" s="427">
        <v>0</v>
      </c>
      <c r="N69" s="427">
        <v>20851684</v>
      </c>
      <c r="O69" s="427">
        <v>20</v>
      </c>
      <c r="P69" s="427">
        <v>73593000</v>
      </c>
      <c r="Q69" s="427">
        <v>7</v>
      </c>
      <c r="R69" s="427">
        <v>4000000</v>
      </c>
      <c r="S69" s="424">
        <v>37</v>
      </c>
      <c r="T69" s="424">
        <f>SUM(L69,N69,P69,R69)</f>
        <v>117644684</v>
      </c>
      <c r="U69" s="428">
        <f>IFERROR(S69/I69,0)</f>
        <v>1</v>
      </c>
      <c r="V69" s="428">
        <f t="shared" si="0"/>
        <v>0.91752210263609424</v>
      </c>
      <c r="W69" s="423">
        <f>S69+G69</f>
        <v>37</v>
      </c>
      <c r="X69" s="424">
        <f>T69+H69</f>
        <v>117644684</v>
      </c>
      <c r="Y69" s="429">
        <f>IFERROR(W69/E69,0)</f>
        <v>0</v>
      </c>
      <c r="Z69" s="430">
        <f>IFERROR(X69/F69,0)</f>
        <v>0</v>
      </c>
      <c r="AA69" s="431"/>
      <c r="AB69" s="378"/>
      <c r="AE69" s="347"/>
      <c r="AF69" s="347"/>
      <c r="AG69" s="347"/>
    </row>
    <row r="70" spans="1:34" s="346" customFormat="1" x14ac:dyDescent="0.3">
      <c r="A70" s="379"/>
      <c r="B70" s="380"/>
      <c r="C70" s="459"/>
      <c r="D70" s="433"/>
      <c r="E70" s="423"/>
      <c r="F70" s="424"/>
      <c r="G70" s="423"/>
      <c r="H70" s="424"/>
      <c r="I70" s="467"/>
      <c r="J70" s="424"/>
      <c r="K70" s="468" t="s">
        <v>277</v>
      </c>
      <c r="L70" s="468"/>
      <c r="M70" s="468"/>
      <c r="N70" s="468"/>
      <c r="O70" s="468"/>
      <c r="P70" s="468"/>
      <c r="Q70" s="468"/>
      <c r="R70" s="468"/>
      <c r="S70" s="468"/>
      <c r="T70" s="468"/>
      <c r="U70" s="469">
        <f>IFERROR(((U14*J14)+(U15*J15)+(U16*J16)+(U17*J17)+(U18*J18)+(U19*J19)+(U21*J21)+(U22*J22)+(U23*J23)+(U25*J25)+(U28*J28)+(U30*J30)+(U31*J31)+(U32*J32)+(U33*J33)+(U34*J34)+(U40*J40)+(U41*J41)+(U43*J43)+(U44*J44)+(U45*J45)+(U48*J48)+(U49*J49)+(U50+J50)+(U51*J51)+(U52*J52)+(U53*J53)+(U54*J54)+(U56*J56)+(U57*J57)+(U59*J59)+(U60*J60)+(U61*J61)+(U62*J62)+(U63*J63)+(U65*J65)+(U66*J66)+(U68*J68)+(U69*J69))/J12,0)</f>
        <v>1.2956010842192445</v>
      </c>
      <c r="V70" s="469">
        <f>V12</f>
        <v>0.7238945523413971</v>
      </c>
      <c r="W70" s="423"/>
      <c r="X70" s="424"/>
      <c r="Y70" s="429"/>
      <c r="Z70" s="430"/>
      <c r="AA70" s="431"/>
      <c r="AB70" s="378"/>
      <c r="AE70" s="347"/>
      <c r="AF70" s="347"/>
      <c r="AG70" s="347"/>
    </row>
    <row r="71" spans="1:34" s="346" customFormat="1" ht="30" customHeight="1" x14ac:dyDescent="0.3">
      <c r="A71" s="379"/>
      <c r="B71" s="380"/>
      <c r="C71" s="432"/>
      <c r="D71" s="433"/>
      <c r="E71" s="423"/>
      <c r="F71" s="424"/>
      <c r="G71" s="423"/>
      <c r="H71" s="424"/>
      <c r="I71" s="435"/>
      <c r="J71" s="424"/>
      <c r="K71" s="468" t="s">
        <v>278</v>
      </c>
      <c r="L71" s="468"/>
      <c r="M71" s="468"/>
      <c r="N71" s="468"/>
      <c r="O71" s="468"/>
      <c r="P71" s="468"/>
      <c r="Q71" s="468"/>
      <c r="R71" s="468"/>
      <c r="S71" s="468"/>
      <c r="T71" s="468"/>
      <c r="U71" s="469" t="str">
        <f>IF(U70&gt;0.9,"Sangat Tinggi",IF(U70&gt;0.75,"Tinggi",IF(U70&gt;0.65,"Sedang",IF(U70&gt;0.5,"Rendah","Sangat Rendah"))))</f>
        <v>Sangat Tinggi</v>
      </c>
      <c r="V71" s="469" t="str">
        <f>IF(V70&gt;0.9,"Sangat Tinggi",IF(V70&gt;0.75,"Tinggi",IF(V70&gt;0.65,"Sedang",IF(V70&gt;0.5,"Rendah","Sangat Rendah"))))</f>
        <v>Sedang</v>
      </c>
      <c r="W71" s="423"/>
      <c r="X71" s="424"/>
      <c r="Y71" s="429"/>
      <c r="Z71" s="430"/>
      <c r="AA71" s="431"/>
      <c r="AB71" s="378"/>
      <c r="AE71" s="347"/>
      <c r="AF71" s="347"/>
      <c r="AG71" s="347"/>
    </row>
    <row r="72" spans="1:34" s="346" customFormat="1" x14ac:dyDescent="0.3">
      <c r="A72" s="470"/>
      <c r="B72" s="471"/>
      <c r="C72" s="471"/>
      <c r="D72" s="471"/>
      <c r="E72" s="471"/>
      <c r="F72" s="471"/>
      <c r="G72" s="471"/>
      <c r="H72" s="471"/>
      <c r="I72" s="472">
        <f>+J12</f>
        <v>17513953600</v>
      </c>
      <c r="J72" s="473"/>
      <c r="K72" s="474" t="s">
        <v>279</v>
      </c>
      <c r="L72" s="475"/>
      <c r="M72" s="475"/>
      <c r="N72" s="475"/>
      <c r="O72" s="475"/>
      <c r="P72" s="475"/>
      <c r="Q72" s="475"/>
      <c r="R72" s="475"/>
      <c r="S72" s="475"/>
      <c r="T72" s="476"/>
      <c r="U72" s="477">
        <f>(0+(U70*J12)/I72)</f>
        <v>1.2956010842192445</v>
      </c>
      <c r="V72" s="477">
        <f>(0+T12)/I72</f>
        <v>0.7238945523413971</v>
      </c>
      <c r="W72" s="478"/>
      <c r="X72" s="478"/>
      <c r="Y72" s="478"/>
      <c r="Z72" s="479"/>
      <c r="AA72" s="480"/>
      <c r="AB72" s="368"/>
      <c r="AE72" s="347"/>
      <c r="AF72" s="347"/>
      <c r="AG72" s="347"/>
    </row>
    <row r="73" spans="1:34" s="346" customFormat="1" ht="33" customHeight="1" thickBot="1" x14ac:dyDescent="0.35">
      <c r="A73" s="481"/>
      <c r="B73" s="482"/>
      <c r="C73" s="482"/>
      <c r="D73" s="482"/>
      <c r="E73" s="482"/>
      <c r="F73" s="482"/>
      <c r="G73" s="482"/>
      <c r="H73" s="482"/>
      <c r="I73" s="482"/>
      <c r="J73" s="482"/>
      <c r="K73" s="483" t="s">
        <v>280</v>
      </c>
      <c r="L73" s="484"/>
      <c r="M73" s="484"/>
      <c r="N73" s="484"/>
      <c r="O73" s="484"/>
      <c r="P73" s="484"/>
      <c r="Q73" s="484"/>
      <c r="R73" s="484"/>
      <c r="S73" s="484"/>
      <c r="T73" s="485"/>
      <c r="U73" s="486" t="str">
        <f>IF(U72&gt;0.9,"Sangat Tinggi",IF(U72&gt;0.75,"Tinggi",IF(U72&gt;0.65,"Sedang",IF(U72&gt;0.5,"Rendah","Sangat Rendah"))))</f>
        <v>Sangat Tinggi</v>
      </c>
      <c r="V73" s="486" t="str">
        <f>IF(V72&gt;0.9,"Sangat Tinggi",IF(V72&gt;0.75,"Tinggi",IF(V72&gt;0.65,"Sedang",IF(V72&gt;0.5,"Rendah","Sangat Rendah"))))</f>
        <v>Sedang</v>
      </c>
      <c r="W73" s="487"/>
      <c r="X73" s="487"/>
      <c r="Y73" s="487"/>
      <c r="Z73" s="488"/>
      <c r="AA73" s="489"/>
      <c r="AB73" s="490"/>
      <c r="AE73" s="347"/>
      <c r="AF73" s="347"/>
      <c r="AG73" s="347"/>
    </row>
    <row r="74" spans="1:34" s="346" customFormat="1" ht="21" customHeight="1" x14ac:dyDescent="0.3">
      <c r="AA74" s="351"/>
      <c r="AB74" s="351"/>
      <c r="AE74" s="347"/>
      <c r="AF74" s="347"/>
      <c r="AG74" s="347"/>
    </row>
    <row r="75" spans="1:34" s="346" customFormat="1" ht="26.45" customHeight="1" x14ac:dyDescent="0.3">
      <c r="A75" s="491" t="s">
        <v>281</v>
      </c>
      <c r="B75" s="491" t="s">
        <v>282</v>
      </c>
      <c r="C75" s="491" t="s">
        <v>283</v>
      </c>
      <c r="U75" s="492"/>
      <c r="V75" s="493" t="s">
        <v>370</v>
      </c>
      <c r="W75" s="493"/>
      <c r="X75" s="493"/>
      <c r="Y75" s="493"/>
      <c r="Z75" s="493"/>
      <c r="AA75" s="493"/>
      <c r="AB75" s="351"/>
      <c r="AE75" s="347"/>
      <c r="AF75" s="347"/>
      <c r="AG75" s="347"/>
    </row>
    <row r="76" spans="1:34" s="346" customFormat="1" ht="15" customHeight="1" x14ac:dyDescent="0.3">
      <c r="A76" s="494" t="s">
        <v>286</v>
      </c>
      <c r="B76" s="494" t="s">
        <v>287</v>
      </c>
      <c r="C76" s="494" t="s">
        <v>288</v>
      </c>
      <c r="U76" s="492"/>
      <c r="W76" s="495"/>
      <c r="X76" s="495"/>
      <c r="Y76" s="495"/>
      <c r="Z76" s="495"/>
      <c r="AA76" s="351"/>
      <c r="AB76" s="351"/>
      <c r="AE76" s="347"/>
      <c r="AF76" s="347"/>
      <c r="AG76" s="347"/>
    </row>
    <row r="77" spans="1:34" s="346" customFormat="1" ht="15" customHeight="1" x14ac:dyDescent="0.3">
      <c r="A77" s="494" t="s">
        <v>290</v>
      </c>
      <c r="B77" s="494" t="s">
        <v>291</v>
      </c>
      <c r="C77" s="494" t="s">
        <v>292</v>
      </c>
      <c r="W77" s="496" t="s">
        <v>371</v>
      </c>
      <c r="X77" s="496"/>
      <c r="Y77" s="496"/>
      <c r="Z77" s="496"/>
      <c r="AA77" s="496"/>
      <c r="AB77" s="351"/>
      <c r="AE77" s="347"/>
      <c r="AF77" s="347"/>
      <c r="AG77" s="347"/>
    </row>
    <row r="78" spans="1:34" s="346" customFormat="1" ht="15" customHeight="1" x14ac:dyDescent="0.3">
      <c r="A78" s="494" t="s">
        <v>293</v>
      </c>
      <c r="B78" s="494" t="s">
        <v>294</v>
      </c>
      <c r="C78" s="494" t="s">
        <v>295</v>
      </c>
      <c r="W78" s="495"/>
      <c r="X78" s="497"/>
      <c r="Y78" s="497"/>
      <c r="Z78" s="497"/>
      <c r="AA78" s="351"/>
      <c r="AB78" s="351"/>
      <c r="AE78" s="347"/>
      <c r="AF78" s="347"/>
      <c r="AG78" s="347"/>
    </row>
    <row r="79" spans="1:34" s="346" customFormat="1" ht="15" customHeight="1" x14ac:dyDescent="0.3">
      <c r="A79" s="494" t="s">
        <v>296</v>
      </c>
      <c r="B79" s="494" t="s">
        <v>297</v>
      </c>
      <c r="C79" s="494" t="s">
        <v>298</v>
      </c>
      <c r="W79" s="498" t="s">
        <v>372</v>
      </c>
      <c r="X79" s="498"/>
      <c r="Y79" s="498"/>
      <c r="Z79" s="498"/>
      <c r="AA79" s="498"/>
      <c r="AB79" s="351"/>
      <c r="AE79" s="347"/>
      <c r="AF79" s="347"/>
      <c r="AG79" s="347"/>
    </row>
    <row r="80" spans="1:34" s="351" customFormat="1" ht="15" customHeight="1" x14ac:dyDescent="0.3">
      <c r="A80" s="494" t="s">
        <v>300</v>
      </c>
      <c r="B80" s="499" t="s">
        <v>301</v>
      </c>
      <c r="C80" s="494" t="s">
        <v>302</v>
      </c>
      <c r="D80" s="346"/>
      <c r="E80" s="346"/>
      <c r="F80" s="346"/>
      <c r="G80" s="346"/>
      <c r="H80" s="346"/>
      <c r="I80" s="346"/>
      <c r="J80" s="346"/>
      <c r="K80" s="346"/>
      <c r="L80" s="346"/>
      <c r="M80" s="346"/>
      <c r="N80" s="346"/>
      <c r="O80" s="346"/>
      <c r="P80" s="346"/>
      <c r="Q80" s="346"/>
      <c r="R80" s="346"/>
      <c r="S80" s="346"/>
      <c r="T80" s="346"/>
      <c r="U80" s="492"/>
      <c r="V80" s="500"/>
      <c r="W80" s="498" t="s">
        <v>336</v>
      </c>
      <c r="X80" s="498"/>
      <c r="Y80" s="498"/>
      <c r="Z80" s="498"/>
      <c r="AA80" s="498"/>
      <c r="AC80" s="346"/>
      <c r="AD80" s="346"/>
      <c r="AE80" s="347"/>
      <c r="AF80" s="347"/>
      <c r="AG80" s="347"/>
      <c r="AH80" s="346"/>
    </row>
    <row r="81" spans="1:34" s="351" customFormat="1" ht="15" customHeight="1" x14ac:dyDescent="0.3">
      <c r="A81" s="346"/>
      <c r="B81" s="346"/>
      <c r="C81" s="346"/>
      <c r="D81" s="346"/>
      <c r="E81" s="346"/>
      <c r="F81" s="346"/>
      <c r="G81" s="346"/>
      <c r="H81" s="346"/>
      <c r="I81" s="346"/>
      <c r="J81" s="346"/>
      <c r="K81" s="346"/>
      <c r="L81" s="346"/>
      <c r="M81" s="346"/>
      <c r="N81" s="346"/>
      <c r="O81" s="346"/>
      <c r="P81" s="346"/>
      <c r="Q81" s="346"/>
      <c r="R81" s="346"/>
      <c r="S81" s="346"/>
      <c r="T81" s="346"/>
      <c r="U81" s="346"/>
      <c r="V81" s="346"/>
      <c r="W81" s="498" t="s">
        <v>337</v>
      </c>
      <c r="X81" s="498"/>
      <c r="Y81" s="498"/>
      <c r="Z81" s="498"/>
      <c r="AA81" s="498"/>
      <c r="AC81" s="346"/>
      <c r="AD81" s="346"/>
      <c r="AE81" s="347"/>
      <c r="AF81" s="347"/>
      <c r="AG81" s="347"/>
      <c r="AH81" s="346"/>
    </row>
    <row r="82" spans="1:34" s="351" customFormat="1" x14ac:dyDescent="0.3">
      <c r="A82" s="346"/>
      <c r="B82" s="346"/>
      <c r="C82" s="346"/>
      <c r="D82" s="346"/>
      <c r="E82" s="346"/>
      <c r="F82" s="346"/>
      <c r="G82" s="346"/>
      <c r="H82" s="346"/>
      <c r="I82" s="346"/>
      <c r="J82" s="346"/>
      <c r="K82" s="346"/>
      <c r="L82" s="346"/>
      <c r="M82" s="346"/>
      <c r="N82" s="346"/>
      <c r="O82" s="346"/>
      <c r="P82" s="346"/>
      <c r="Q82" s="346"/>
      <c r="R82" s="346"/>
      <c r="S82" s="346"/>
      <c r="T82" s="346"/>
      <c r="U82" s="346"/>
      <c r="V82" s="346"/>
      <c r="W82" s="495"/>
      <c r="X82" s="495"/>
      <c r="Y82" s="495"/>
      <c r="Z82" s="495"/>
      <c r="AC82" s="346"/>
      <c r="AD82" s="346"/>
      <c r="AE82" s="347"/>
      <c r="AF82" s="347"/>
      <c r="AG82" s="347"/>
      <c r="AH82" s="346"/>
    </row>
  </sheetData>
  <sheetProtection formatCells="0" formatColumns="0" formatRows="0" insertColumns="0" insertRows="0" insertHyperlinks="0" deleteColumns="0" deleteRows="0" sort="0" autoFilter="0" pivotTables="0"/>
  <mergeCells count="50">
    <mergeCell ref="W81:AA81"/>
    <mergeCell ref="K73:T73"/>
    <mergeCell ref="V75:AA75"/>
    <mergeCell ref="W77:AA77"/>
    <mergeCell ref="X78:Z78"/>
    <mergeCell ref="W79:AA79"/>
    <mergeCell ref="W80:AA80"/>
    <mergeCell ref="W9:X9"/>
    <mergeCell ref="Y9:Z9"/>
    <mergeCell ref="C11:Z11"/>
    <mergeCell ref="K70:T70"/>
    <mergeCell ref="K71:T71"/>
    <mergeCell ref="I72:J72"/>
    <mergeCell ref="K72:T72"/>
    <mergeCell ref="K9:L9"/>
    <mergeCell ref="M9:N9"/>
    <mergeCell ref="O9:P9"/>
    <mergeCell ref="Q9:R9"/>
    <mergeCell ref="S9:T9"/>
    <mergeCell ref="U9:V9"/>
    <mergeCell ref="U8:V8"/>
    <mergeCell ref="W8:X8"/>
    <mergeCell ref="Y8:Z8"/>
    <mergeCell ref="A9:A10"/>
    <mergeCell ref="B9:B10"/>
    <mergeCell ref="C9:C10"/>
    <mergeCell ref="D9:D10"/>
    <mergeCell ref="E9:F9"/>
    <mergeCell ref="G9:H9"/>
    <mergeCell ref="I9:J9"/>
    <mergeCell ref="W7:X7"/>
    <mergeCell ref="Y7:Z7"/>
    <mergeCell ref="E8:F8"/>
    <mergeCell ref="G8:H8"/>
    <mergeCell ref="I8:J8"/>
    <mergeCell ref="K8:L8"/>
    <mergeCell ref="M8:N8"/>
    <mergeCell ref="O8:P8"/>
    <mergeCell ref="Q8:R8"/>
    <mergeCell ref="S8:T8"/>
    <mergeCell ref="A1:AB1"/>
    <mergeCell ref="A2:AB2"/>
    <mergeCell ref="A3:AB3"/>
    <mergeCell ref="A4:AB4"/>
    <mergeCell ref="E7:F7"/>
    <mergeCell ref="G7:H7"/>
    <mergeCell ref="I7:J7"/>
    <mergeCell ref="K7:R7"/>
    <mergeCell ref="S7:T7"/>
    <mergeCell ref="U7:V7"/>
  </mergeCells>
  <printOptions horizontalCentered="1"/>
  <pageMargins left="0.2" right="0.2" top="0.5" bottom="0.53" header="0.3" footer="0.3"/>
  <pageSetup paperSize="8" scale="62" orientation="landscape"/>
  <headerFoot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2021</vt:lpstr>
      <vt:lpstr>DESEMBER 22 </vt:lpstr>
      <vt:lpstr>NOVEMBER 22 </vt:lpstr>
      <vt:lpstr>OKTOBER 22</vt:lpstr>
      <vt:lpstr>2023</vt:lpstr>
      <vt:lpstr>2024</vt:lpstr>
      <vt:lpstr>Sheet3</vt:lpstr>
      <vt:lpstr>'2021'!Print_Area</vt:lpstr>
      <vt:lpstr>'2023'!Print_Area</vt:lpstr>
      <vt:lpstr>'2024'!Print_Area</vt:lpstr>
      <vt:lpstr>'DESEMBER 22 '!Print_Area</vt:lpstr>
      <vt:lpstr>'NOVEMBER 22 '!Print_Area</vt:lpstr>
      <vt:lpstr>'OKTOBER 22'!Print_Area</vt:lpstr>
      <vt:lpstr>'2021'!Print_Titles</vt:lpstr>
      <vt:lpstr>'2024'!Print_Titles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User</cp:lastModifiedBy>
  <cp:lastPrinted>2022-02-21T04:29:23Z</cp:lastPrinted>
  <dcterms:created xsi:type="dcterms:W3CDTF">2021-11-27T01:24:04Z</dcterms:created>
  <dcterms:modified xsi:type="dcterms:W3CDTF">2025-02-26T04:16:30Z</dcterms:modified>
</cp:coreProperties>
</file>